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Summary" sheetId="6" r:id="rId1"/>
    <sheet name="Absent Traveling" sheetId="1" r:id="rId2"/>
    <sheet name="Present Traveling" sheetId="2" r:id="rId3"/>
    <sheet name="Absent Foraging" sheetId="3" r:id="rId4"/>
    <sheet name="Present Foraging" sheetId="4" r:id="rId5"/>
    <sheet name="Absent Playing" sheetId="5" r:id="rId6"/>
  </sheets>
  <calcPr calcId="125725"/>
</workbook>
</file>

<file path=xl/calcChain.xml><?xml version="1.0" encoding="utf-8"?>
<calcChain xmlns="http://schemas.openxmlformats.org/spreadsheetml/2006/main">
  <c r="H2" i="6"/>
  <c r="H3"/>
  <c r="H4"/>
  <c r="H5"/>
  <c r="H6"/>
  <c r="B7"/>
  <c r="C7"/>
  <c r="D7"/>
  <c r="E7"/>
  <c r="F7"/>
  <c r="G7"/>
  <c r="H7"/>
  <c r="F2" i="5"/>
  <c r="F3"/>
  <c r="G3"/>
  <c r="F4"/>
  <c r="F5"/>
  <c r="F6"/>
  <c r="F7"/>
  <c r="F8"/>
  <c r="F9"/>
  <c r="F10"/>
  <c r="G10"/>
  <c r="F11"/>
  <c r="F12"/>
  <c r="F13"/>
  <c r="F14"/>
  <c r="G14"/>
  <c r="F15"/>
  <c r="F16"/>
  <c r="F17"/>
  <c r="F2" i="4"/>
  <c r="G2"/>
  <c r="F3"/>
  <c r="F4"/>
  <c r="F5"/>
  <c r="F6"/>
  <c r="F7"/>
  <c r="F8"/>
  <c r="F9"/>
  <c r="F2" i="3"/>
  <c r="G2"/>
  <c r="F3"/>
  <c r="G3"/>
  <c r="F4"/>
  <c r="G4"/>
  <c r="F5"/>
  <c r="G5"/>
  <c r="F6"/>
  <c r="F7"/>
  <c r="F8"/>
  <c r="F9"/>
  <c r="F10"/>
  <c r="F11"/>
  <c r="F12"/>
  <c r="F13"/>
  <c r="F14"/>
  <c r="F15"/>
  <c r="F16"/>
  <c r="F17"/>
  <c r="F18"/>
  <c r="F19"/>
  <c r="F2" i="2"/>
  <c r="F3"/>
  <c r="F4"/>
  <c r="F5"/>
  <c r="F6"/>
  <c r="F7"/>
  <c r="F8"/>
  <c r="F9"/>
  <c r="F10"/>
  <c r="G10"/>
  <c r="F11"/>
  <c r="F12"/>
  <c r="F13"/>
  <c r="F14"/>
  <c r="F15"/>
  <c r="F16"/>
  <c r="F17"/>
  <c r="F18"/>
  <c r="F19"/>
  <c r="F20"/>
  <c r="F21"/>
  <c r="F22"/>
  <c r="F23"/>
  <c r="F24"/>
  <c r="F25"/>
  <c r="F26"/>
  <c r="G26"/>
  <c r="F27"/>
  <c r="F28"/>
  <c r="G28"/>
  <c r="F29"/>
  <c r="F30"/>
  <c r="F31"/>
  <c r="F32"/>
  <c r="F33"/>
  <c r="F34"/>
  <c r="G34"/>
  <c r="F35"/>
  <c r="F36"/>
  <c r="F37"/>
  <c r="G37"/>
  <c r="F38"/>
  <c r="G38"/>
  <c r="F39"/>
  <c r="F40"/>
  <c r="F41"/>
  <c r="F42"/>
  <c r="F43"/>
  <c r="F44"/>
  <c r="F45"/>
  <c r="G45"/>
  <c r="F46"/>
  <c r="F47"/>
  <c r="F48"/>
  <c r="F49"/>
  <c r="F50"/>
  <c r="F51"/>
  <c r="F52"/>
  <c r="F53"/>
  <c r="F54"/>
  <c r="F55"/>
  <c r="F56"/>
  <c r="F57"/>
  <c r="F58"/>
  <c r="F59"/>
  <c r="F60"/>
  <c r="G60"/>
  <c r="F61"/>
  <c r="G61"/>
  <c r="F62"/>
  <c r="F63"/>
  <c r="F64"/>
  <c r="F65"/>
  <c r="F66"/>
  <c r="F67"/>
  <c r="F68"/>
  <c r="F69"/>
  <c r="F70"/>
  <c r="F71"/>
  <c r="F72"/>
  <c r="F73"/>
  <c r="F74"/>
  <c r="F75"/>
  <c r="G75"/>
  <c r="F76"/>
  <c r="F77"/>
  <c r="F78"/>
  <c r="G78"/>
  <c r="F79"/>
  <c r="F80"/>
  <c r="F2" i="1"/>
  <c r="F3"/>
  <c r="F4"/>
  <c r="F5"/>
  <c r="F6"/>
  <c r="G6"/>
  <c r="F7"/>
  <c r="G7"/>
  <c r="F8"/>
  <c r="F9"/>
  <c r="F10"/>
  <c r="F11"/>
  <c r="F12"/>
  <c r="F13"/>
  <c r="G13"/>
  <c r="F14"/>
  <c r="F15"/>
  <c r="F16"/>
  <c r="F17"/>
  <c r="F18"/>
  <c r="F19"/>
  <c r="G19"/>
  <c r="F20"/>
  <c r="F21"/>
</calcChain>
</file>

<file path=xl/sharedStrings.xml><?xml version="1.0" encoding="utf-8"?>
<sst xmlns="http://schemas.openxmlformats.org/spreadsheetml/2006/main" count="338" uniqueCount="23">
  <si>
    <t>Traveling</t>
  </si>
  <si>
    <t>A</t>
  </si>
  <si>
    <t>dB re 1 micro Pa</t>
  </si>
  <si>
    <t>RMS</t>
  </si>
  <si>
    <t xml:space="preserve">Power Ratio </t>
  </si>
  <si>
    <t>Fundamental</t>
  </si>
  <si>
    <t>Duration</t>
  </si>
  <si>
    <t>Vessel #</t>
  </si>
  <si>
    <t>Behavior</t>
  </si>
  <si>
    <t>Date</t>
  </si>
  <si>
    <t>A/P</t>
  </si>
  <si>
    <t>P</t>
  </si>
  <si>
    <t>Background Noise</t>
  </si>
  <si>
    <t>Vessel Count</t>
  </si>
  <si>
    <t>Foraging</t>
  </si>
  <si>
    <t>Playing</t>
  </si>
  <si>
    <t>Total</t>
  </si>
  <si>
    <t>P Playing</t>
  </si>
  <si>
    <t>A Playing</t>
  </si>
  <si>
    <t>P Foraging</t>
  </si>
  <si>
    <t>A Foraging</t>
  </si>
  <si>
    <t>P Traveling</t>
  </si>
  <si>
    <t>A Traveling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</si>
</sst>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/>
    <xf numFmtId="0" fontId="0" fillId="0" borderId="0" xfId="0" applyBorder="1"/>
    <xf numFmtId="2" fontId="0" fillId="0" borderId="0" xfId="0" applyNumberFormat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B12" sqref="B12"/>
    </sheetView>
  </sheetViews>
  <sheetFormatPr defaultRowHeight="15"/>
  <sheetData>
    <row r="1" spans="1:8">
      <c r="A1" t="s">
        <v>9</v>
      </c>
      <c r="B1" t="s">
        <v>22</v>
      </c>
      <c r="C1" t="s">
        <v>21</v>
      </c>
      <c r="D1" t="s">
        <v>20</v>
      </c>
      <c r="E1" t="s">
        <v>19</v>
      </c>
      <c r="F1" t="s">
        <v>18</v>
      </c>
      <c r="G1" t="s">
        <v>17</v>
      </c>
      <c r="H1" t="s">
        <v>16</v>
      </c>
    </row>
    <row r="2" spans="1:8">
      <c r="A2">
        <v>90514</v>
      </c>
      <c r="C2">
        <v>25</v>
      </c>
      <c r="E2">
        <v>8</v>
      </c>
      <c r="H2">
        <f>SUM(C2:G2)</f>
        <v>33</v>
      </c>
    </row>
    <row r="3" spans="1:8">
      <c r="A3">
        <v>90515</v>
      </c>
      <c r="D3">
        <v>18</v>
      </c>
      <c r="H3">
        <f>SUM(C3:G3)</f>
        <v>18</v>
      </c>
    </row>
    <row r="4" spans="1:8">
      <c r="A4">
        <v>90518</v>
      </c>
      <c r="B4">
        <v>19</v>
      </c>
      <c r="F4">
        <v>16</v>
      </c>
      <c r="H4">
        <f>SUM(B4:F4)</f>
        <v>35</v>
      </c>
    </row>
    <row r="5" spans="1:8">
      <c r="A5">
        <v>90519</v>
      </c>
      <c r="C5">
        <v>54</v>
      </c>
      <c r="H5">
        <f>SUM(C5:G5)</f>
        <v>54</v>
      </c>
    </row>
    <row r="6" spans="1:8">
      <c r="A6">
        <v>90525</v>
      </c>
      <c r="B6">
        <v>1</v>
      </c>
      <c r="H6">
        <f>SUM(B6:G6)</f>
        <v>1</v>
      </c>
    </row>
    <row r="7" spans="1:8">
      <c r="A7" t="s">
        <v>16</v>
      </c>
      <c r="B7">
        <f>SUM(B2:B6)</f>
        <v>20</v>
      </c>
      <c r="C7">
        <f>SUM(C2:C6)</f>
        <v>79</v>
      </c>
      <c r="D7">
        <f>SUM(D2:D6)</f>
        <v>18</v>
      </c>
      <c r="E7">
        <f>SUM(E2:E6)</f>
        <v>8</v>
      </c>
      <c r="F7">
        <f>SUM(F2:F6)</f>
        <v>16</v>
      </c>
      <c r="G7">
        <f>SUM(G2:G6)</f>
        <v>0</v>
      </c>
      <c r="H7">
        <f>SUM(H2:H6)</f>
        <v>141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B26" sqref="B26"/>
    </sheetView>
  </sheetViews>
  <sheetFormatPr defaultRowHeight="15"/>
  <sheetData>
    <row r="1" spans="1:9">
      <c r="A1" t="s">
        <v>10</v>
      </c>
      <c r="B1" t="s">
        <v>9</v>
      </c>
      <c r="C1" t="s">
        <v>8</v>
      </c>
      <c r="D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</row>
    <row r="2" spans="1:9">
      <c r="A2" t="s">
        <v>1</v>
      </c>
      <c r="B2">
        <v>518</v>
      </c>
      <c r="C2" t="s">
        <v>0</v>
      </c>
      <c r="D2">
        <v>8</v>
      </c>
      <c r="E2">
        <v>1.0690200000000001</v>
      </c>
      <c r="F2">
        <f>3302-2021</f>
        <v>1281</v>
      </c>
      <c r="G2">
        <v>3</v>
      </c>
      <c r="H2">
        <v>142.89320000000001</v>
      </c>
      <c r="I2">
        <v>122.7002</v>
      </c>
    </row>
    <row r="3" spans="1:9">
      <c r="A3" t="s">
        <v>1</v>
      </c>
      <c r="B3">
        <v>518</v>
      </c>
      <c r="C3" t="s">
        <v>0</v>
      </c>
      <c r="D3">
        <v>8</v>
      </c>
      <c r="E3">
        <v>1.153327</v>
      </c>
      <c r="F3">
        <f>3275-2196</f>
        <v>1079</v>
      </c>
      <c r="G3">
        <v>8</v>
      </c>
      <c r="H3">
        <v>199.1199</v>
      </c>
      <c r="I3">
        <v>125.5823</v>
      </c>
    </row>
    <row r="4" spans="1:9">
      <c r="A4" t="s">
        <v>1</v>
      </c>
      <c r="B4">
        <v>518</v>
      </c>
      <c r="C4" t="s">
        <v>0</v>
      </c>
      <c r="D4">
        <v>8</v>
      </c>
      <c r="E4">
        <v>1.214029</v>
      </c>
      <c r="F4">
        <f>3146-2105</f>
        <v>1041</v>
      </c>
      <c r="G4">
        <v>-1</v>
      </c>
      <c r="H4">
        <v>233.2612</v>
      </c>
      <c r="I4">
        <v>126.9569</v>
      </c>
    </row>
    <row r="5" spans="1:9">
      <c r="A5" t="s">
        <v>1</v>
      </c>
      <c r="B5">
        <v>518</v>
      </c>
      <c r="C5" t="s">
        <v>0</v>
      </c>
      <c r="D5">
        <v>8</v>
      </c>
      <c r="E5">
        <v>1.0589029999999999</v>
      </c>
      <c r="F5">
        <f>3143-2101</f>
        <v>1042</v>
      </c>
      <c r="G5">
        <v>4</v>
      </c>
      <c r="H5">
        <v>245.5881</v>
      </c>
      <c r="I5">
        <v>127.4041</v>
      </c>
    </row>
    <row r="6" spans="1:9">
      <c r="A6" t="s">
        <v>1</v>
      </c>
      <c r="B6">
        <v>518</v>
      </c>
      <c r="C6" t="s">
        <v>0</v>
      </c>
      <c r="D6">
        <v>8</v>
      </c>
      <c r="E6">
        <v>0.85993699999999995</v>
      </c>
      <c r="F6">
        <f>3223-2131</f>
        <v>1092</v>
      </c>
      <c r="G6">
        <f>36-27</f>
        <v>9</v>
      </c>
      <c r="H6">
        <v>216.42959999999999</v>
      </c>
      <c r="I6">
        <v>126.30629999999999</v>
      </c>
    </row>
    <row r="7" spans="1:9">
      <c r="A7" t="s">
        <v>1</v>
      </c>
      <c r="B7">
        <v>518</v>
      </c>
      <c r="C7" t="s">
        <v>0</v>
      </c>
      <c r="D7">
        <v>8</v>
      </c>
      <c r="E7">
        <v>1.1162319999999999</v>
      </c>
      <c r="F7">
        <f>3200-2133</f>
        <v>1067</v>
      </c>
      <c r="G7">
        <f>41-34</f>
        <v>7</v>
      </c>
      <c r="H7">
        <v>272.25580000000002</v>
      </c>
      <c r="I7">
        <v>128.29949999999999</v>
      </c>
    </row>
    <row r="8" spans="1:9">
      <c r="A8" t="s">
        <v>1</v>
      </c>
      <c r="B8">
        <v>518</v>
      </c>
      <c r="C8" t="s">
        <v>0</v>
      </c>
      <c r="D8">
        <v>8</v>
      </c>
      <c r="E8">
        <v>0.99482899999999996</v>
      </c>
      <c r="F8">
        <f>3228-2177</f>
        <v>1051</v>
      </c>
      <c r="G8">
        <v>-3</v>
      </c>
      <c r="H8">
        <v>199.7705</v>
      </c>
      <c r="I8">
        <v>125.61060000000001</v>
      </c>
    </row>
    <row r="9" spans="1:9">
      <c r="A9" t="s">
        <v>1</v>
      </c>
      <c r="B9">
        <v>518</v>
      </c>
      <c r="C9" t="s">
        <v>0</v>
      </c>
      <c r="D9">
        <v>8</v>
      </c>
      <c r="E9">
        <v>0.96110600000000002</v>
      </c>
      <c r="F9">
        <f>3238-2157</f>
        <v>1081</v>
      </c>
      <c r="G9">
        <v>-3</v>
      </c>
      <c r="H9">
        <v>213.63409999999999</v>
      </c>
      <c r="I9">
        <v>126.1934</v>
      </c>
    </row>
    <row r="10" spans="1:9">
      <c r="A10" t="s">
        <v>1</v>
      </c>
      <c r="B10">
        <v>518</v>
      </c>
      <c r="C10" t="s">
        <v>0</v>
      </c>
      <c r="D10">
        <v>8</v>
      </c>
      <c r="E10">
        <v>1.079137</v>
      </c>
      <c r="F10">
        <f>3197-2116</f>
        <v>1081</v>
      </c>
      <c r="G10">
        <v>4</v>
      </c>
      <c r="H10">
        <v>219.4776</v>
      </c>
      <c r="I10">
        <v>126.4278</v>
      </c>
    </row>
    <row r="11" spans="1:9">
      <c r="A11" t="s">
        <v>1</v>
      </c>
      <c r="B11">
        <v>518</v>
      </c>
      <c r="C11" t="s">
        <v>0</v>
      </c>
      <c r="D11">
        <v>8</v>
      </c>
      <c r="E11">
        <v>1.237635</v>
      </c>
      <c r="F11">
        <f>3143-2066</f>
        <v>1077</v>
      </c>
      <c r="G11">
        <v>5</v>
      </c>
      <c r="H11">
        <v>269.57530000000003</v>
      </c>
      <c r="I11">
        <v>128.21360000000001</v>
      </c>
    </row>
    <row r="12" spans="1:9">
      <c r="A12" t="s">
        <v>1</v>
      </c>
      <c r="B12">
        <v>518</v>
      </c>
      <c r="C12" t="s">
        <v>0</v>
      </c>
      <c r="D12">
        <v>8</v>
      </c>
      <c r="E12">
        <v>0.91052200000000005</v>
      </c>
      <c r="F12">
        <f>3251-2284</f>
        <v>967</v>
      </c>
      <c r="G12">
        <v>-3</v>
      </c>
      <c r="H12">
        <v>261.45400000000001</v>
      </c>
      <c r="I12">
        <v>127.9479</v>
      </c>
    </row>
    <row r="13" spans="1:9">
      <c r="A13" t="s">
        <v>1</v>
      </c>
      <c r="B13">
        <v>518</v>
      </c>
      <c r="C13" t="s">
        <v>0</v>
      </c>
      <c r="D13">
        <v>8</v>
      </c>
      <c r="E13">
        <v>1.136466</v>
      </c>
      <c r="F13">
        <f>3186-2116</f>
        <v>1070</v>
      </c>
      <c r="G13">
        <f>42-36</f>
        <v>6</v>
      </c>
      <c r="H13">
        <v>169.72319999999999</v>
      </c>
      <c r="I13">
        <v>124.1948</v>
      </c>
    </row>
    <row r="14" spans="1:9">
      <c r="A14" t="s">
        <v>1</v>
      </c>
      <c r="B14">
        <v>518</v>
      </c>
      <c r="C14" t="s">
        <v>0</v>
      </c>
      <c r="D14">
        <v>8</v>
      </c>
      <c r="E14">
        <v>1.0993710000000001</v>
      </c>
      <c r="F14">
        <f>3188-2144</f>
        <v>1044</v>
      </c>
      <c r="G14">
        <v>-3</v>
      </c>
      <c r="H14">
        <v>184.41849999999999</v>
      </c>
      <c r="I14">
        <v>124.9161</v>
      </c>
    </row>
    <row r="15" spans="1:9">
      <c r="A15" t="s">
        <v>1</v>
      </c>
      <c r="B15">
        <v>518</v>
      </c>
      <c r="C15" t="s">
        <v>0</v>
      </c>
      <c r="D15">
        <v>8</v>
      </c>
      <c r="E15">
        <v>0.85319199999999995</v>
      </c>
      <c r="F15">
        <f>3072-2125</f>
        <v>947</v>
      </c>
      <c r="G15">
        <v>0</v>
      </c>
      <c r="H15">
        <v>189.75810000000001</v>
      </c>
      <c r="I15">
        <v>125.164</v>
      </c>
    </row>
    <row r="16" spans="1:9">
      <c r="A16" t="s">
        <v>1</v>
      </c>
      <c r="B16">
        <v>518</v>
      </c>
      <c r="C16" t="s">
        <v>0</v>
      </c>
      <c r="D16">
        <v>8</v>
      </c>
      <c r="E16">
        <v>0.89366000000000001</v>
      </c>
      <c r="F16">
        <f>3258-2140</f>
        <v>1118</v>
      </c>
      <c r="G16">
        <v>3</v>
      </c>
      <c r="H16">
        <v>165.2747</v>
      </c>
      <c r="I16">
        <v>123.9641</v>
      </c>
    </row>
    <row r="17" spans="1:9">
      <c r="A17" t="s">
        <v>1</v>
      </c>
      <c r="B17">
        <v>518</v>
      </c>
      <c r="C17" t="s">
        <v>0</v>
      </c>
      <c r="D17">
        <v>12</v>
      </c>
      <c r="E17">
        <v>1.02518</v>
      </c>
      <c r="F17">
        <f>3157-2118</f>
        <v>1039</v>
      </c>
      <c r="G17">
        <v>-3</v>
      </c>
      <c r="H17">
        <v>169.81880000000001</v>
      </c>
      <c r="I17">
        <v>124.19970000000001</v>
      </c>
    </row>
    <row r="18" spans="1:9">
      <c r="A18" t="s">
        <v>1</v>
      </c>
      <c r="B18">
        <v>518</v>
      </c>
      <c r="C18" t="s">
        <v>0</v>
      </c>
      <c r="D18">
        <v>12</v>
      </c>
      <c r="E18">
        <v>1.0116909999999999</v>
      </c>
      <c r="F18">
        <f>3255-2165</f>
        <v>1090</v>
      </c>
      <c r="G18">
        <v>5</v>
      </c>
      <c r="H18">
        <v>122.3074</v>
      </c>
      <c r="I18">
        <v>121.34910000000001</v>
      </c>
    </row>
    <row r="19" spans="1:9">
      <c r="A19" t="s">
        <v>1</v>
      </c>
      <c r="B19">
        <v>518</v>
      </c>
      <c r="C19" t="s">
        <v>0</v>
      </c>
      <c r="D19">
        <v>9</v>
      </c>
      <c r="E19">
        <v>1.048786</v>
      </c>
      <c r="F19">
        <f>3231-2257</f>
        <v>974</v>
      </c>
      <c r="G19">
        <f>33-41</f>
        <v>-8</v>
      </c>
      <c r="H19">
        <v>200.27869999999999</v>
      </c>
      <c r="I19">
        <v>125.6327</v>
      </c>
    </row>
    <row r="20" spans="1:9">
      <c r="A20" t="s">
        <v>1</v>
      </c>
      <c r="B20">
        <v>518</v>
      </c>
      <c r="C20" t="s">
        <v>0</v>
      </c>
      <c r="D20">
        <v>4</v>
      </c>
      <c r="E20">
        <v>1.0757639999999999</v>
      </c>
      <c r="F20">
        <f>3175-2108</f>
        <v>1067</v>
      </c>
      <c r="G20">
        <v>-1</v>
      </c>
      <c r="H20">
        <v>143.46129999999999</v>
      </c>
      <c r="I20">
        <v>122.7347</v>
      </c>
    </row>
    <row r="21" spans="1:9">
      <c r="A21" t="s">
        <v>1</v>
      </c>
      <c r="B21">
        <v>525</v>
      </c>
      <c r="C21" t="s">
        <v>0</v>
      </c>
      <c r="D21">
        <v>2</v>
      </c>
      <c r="E21" s="1">
        <v>1.0690200000000001</v>
      </c>
      <c r="F21" s="2">
        <f>3117-2081</f>
        <v>1036</v>
      </c>
      <c r="G21" s="1">
        <v>-5</v>
      </c>
      <c r="H21">
        <v>159.20150000000001</v>
      </c>
      <c r="I21">
        <v>123.63890000000001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80"/>
  <sheetViews>
    <sheetView workbookViewId="0">
      <selection sqref="A1:M80"/>
    </sheetView>
  </sheetViews>
  <sheetFormatPr defaultRowHeight="15"/>
  <sheetData>
    <row r="1" spans="1:13">
      <c r="A1" t="s">
        <v>10</v>
      </c>
      <c r="B1" t="s">
        <v>9</v>
      </c>
      <c r="C1" t="s">
        <v>8</v>
      </c>
      <c r="D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L1" t="s">
        <v>13</v>
      </c>
      <c r="M1" t="s">
        <v>12</v>
      </c>
    </row>
    <row r="2" spans="1:13">
      <c r="A2" t="s">
        <v>11</v>
      </c>
      <c r="B2">
        <v>514</v>
      </c>
      <c r="C2" t="s">
        <v>0</v>
      </c>
      <c r="D2">
        <v>1</v>
      </c>
      <c r="E2" s="1">
        <v>0.83970299999999998</v>
      </c>
      <c r="F2" s="2">
        <f>3199-2120</f>
        <v>1079</v>
      </c>
      <c r="G2" s="1">
        <v>3</v>
      </c>
      <c r="H2" s="3">
        <v>365.81330000000003</v>
      </c>
      <c r="I2" s="3">
        <v>130.86519999999999</v>
      </c>
      <c r="L2">
        <v>1</v>
      </c>
      <c r="M2" s="3">
        <v>130.86519999999999</v>
      </c>
    </row>
    <row r="3" spans="1:13">
      <c r="A3" t="s">
        <v>11</v>
      </c>
      <c r="B3">
        <v>514</v>
      </c>
      <c r="C3" t="s">
        <v>0</v>
      </c>
      <c r="D3">
        <v>1</v>
      </c>
      <c r="E3" s="2">
        <v>0.83970299999999998</v>
      </c>
      <c r="F3" s="2">
        <f>3199-2132</f>
        <v>1067</v>
      </c>
      <c r="G3" s="1">
        <v>-2</v>
      </c>
      <c r="H3" s="3">
        <v>118.34229999999999</v>
      </c>
      <c r="I3" s="3">
        <v>121.0628</v>
      </c>
      <c r="L3">
        <v>1</v>
      </c>
      <c r="M3" s="3">
        <v>121.0628</v>
      </c>
    </row>
    <row r="4" spans="1:13">
      <c r="A4" t="s">
        <v>11</v>
      </c>
      <c r="B4">
        <v>514</v>
      </c>
      <c r="C4" t="s">
        <v>0</v>
      </c>
      <c r="D4">
        <v>1</v>
      </c>
      <c r="E4" s="1">
        <v>0.87342600000000004</v>
      </c>
      <c r="F4" s="2">
        <f>2969-2116</f>
        <v>853</v>
      </c>
      <c r="G4" s="1">
        <v>5</v>
      </c>
      <c r="H4" s="3">
        <v>113.197</v>
      </c>
      <c r="I4" s="3">
        <v>120.6767</v>
      </c>
      <c r="L4">
        <v>1</v>
      </c>
      <c r="M4" s="3">
        <v>120.6767</v>
      </c>
    </row>
    <row r="5" spans="1:13">
      <c r="A5" t="s">
        <v>11</v>
      </c>
      <c r="B5">
        <v>514</v>
      </c>
      <c r="C5" t="s">
        <v>0</v>
      </c>
      <c r="D5">
        <v>1</v>
      </c>
      <c r="E5" s="1">
        <v>0.91389399999999998</v>
      </c>
      <c r="F5" s="2">
        <f>3860-2407</f>
        <v>1453</v>
      </c>
      <c r="G5" s="1">
        <v>4</v>
      </c>
      <c r="H5" s="3">
        <v>105.3693</v>
      </c>
      <c r="I5" s="3">
        <v>120.0543</v>
      </c>
      <c r="L5">
        <v>1</v>
      </c>
      <c r="M5" s="3">
        <v>120.0543</v>
      </c>
    </row>
    <row r="6" spans="1:13">
      <c r="A6" t="s">
        <v>11</v>
      </c>
      <c r="B6">
        <v>514</v>
      </c>
      <c r="C6" t="s">
        <v>0</v>
      </c>
      <c r="D6">
        <v>1</v>
      </c>
      <c r="E6" s="1">
        <v>0.87342600000000004</v>
      </c>
      <c r="F6" s="2">
        <f>3146-2084</f>
        <v>1062</v>
      </c>
      <c r="G6" s="1">
        <v>1</v>
      </c>
      <c r="H6" s="3">
        <v>106.5506</v>
      </c>
      <c r="I6" s="3">
        <v>120.1511</v>
      </c>
      <c r="L6">
        <v>1</v>
      </c>
      <c r="M6" s="3">
        <v>120.1511</v>
      </c>
    </row>
    <row r="7" spans="1:13">
      <c r="A7" t="s">
        <v>11</v>
      </c>
      <c r="B7">
        <v>514</v>
      </c>
      <c r="C7" t="s">
        <v>0</v>
      </c>
      <c r="D7">
        <v>4</v>
      </c>
      <c r="E7" s="1">
        <v>0.97796799999999995</v>
      </c>
      <c r="F7" s="2">
        <f>3109-2133</f>
        <v>976</v>
      </c>
      <c r="G7" s="1">
        <v>-10</v>
      </c>
      <c r="H7" s="3">
        <v>359.69310000000002</v>
      </c>
      <c r="I7" s="3">
        <v>130.71860000000001</v>
      </c>
      <c r="L7">
        <v>4</v>
      </c>
      <c r="M7" s="3">
        <v>130.71860000000001</v>
      </c>
    </row>
    <row r="8" spans="1:13">
      <c r="A8" t="s">
        <v>11</v>
      </c>
      <c r="B8">
        <v>514</v>
      </c>
      <c r="C8" t="s">
        <v>0</v>
      </c>
      <c r="D8">
        <v>4</v>
      </c>
      <c r="E8" s="1">
        <v>0.97796799999999995</v>
      </c>
      <c r="F8" s="2">
        <f>3005-2028</f>
        <v>977</v>
      </c>
      <c r="G8" s="1">
        <v>-7</v>
      </c>
      <c r="H8" s="3">
        <v>371.64679999999998</v>
      </c>
      <c r="I8" s="3">
        <v>131.0026</v>
      </c>
      <c r="L8">
        <v>4</v>
      </c>
      <c r="M8" s="3">
        <v>131.0026</v>
      </c>
    </row>
    <row r="9" spans="1:13">
      <c r="A9" t="s">
        <v>11</v>
      </c>
      <c r="B9">
        <v>514</v>
      </c>
      <c r="C9" t="s">
        <v>0</v>
      </c>
      <c r="D9">
        <v>4</v>
      </c>
      <c r="E9" s="1">
        <v>1.072392</v>
      </c>
      <c r="F9" s="2">
        <f>2979-1978</f>
        <v>1001</v>
      </c>
      <c r="G9" s="1">
        <v>-2</v>
      </c>
      <c r="H9" s="3">
        <v>304.21539999999999</v>
      </c>
      <c r="I9" s="3">
        <v>129.2636</v>
      </c>
      <c r="L9">
        <v>4</v>
      </c>
      <c r="M9" s="3">
        <v>129.2636</v>
      </c>
    </row>
    <row r="10" spans="1:13">
      <c r="A10" t="s">
        <v>11</v>
      </c>
      <c r="B10">
        <v>514</v>
      </c>
      <c r="C10" t="s">
        <v>0</v>
      </c>
      <c r="D10">
        <v>4</v>
      </c>
      <c r="E10" s="1">
        <v>1.0690200000000001</v>
      </c>
      <c r="F10" s="2">
        <f>2383-1011</f>
        <v>1372</v>
      </c>
      <c r="G10" s="1">
        <f>27-41</f>
        <v>-14</v>
      </c>
      <c r="H10" s="3">
        <v>334.47980000000001</v>
      </c>
      <c r="I10" s="3">
        <v>130.0874</v>
      </c>
      <c r="L10">
        <v>4</v>
      </c>
      <c r="M10" s="3">
        <v>130.0874</v>
      </c>
    </row>
    <row r="11" spans="1:13">
      <c r="A11" t="s">
        <v>11</v>
      </c>
      <c r="B11">
        <v>514</v>
      </c>
      <c r="C11" t="s">
        <v>0</v>
      </c>
      <c r="D11">
        <v>4</v>
      </c>
      <c r="E11" s="1">
        <v>0.87343599999999999</v>
      </c>
      <c r="F11" s="2">
        <f>3082-2069</f>
        <v>1013</v>
      </c>
      <c r="G11" s="1">
        <v>-8</v>
      </c>
      <c r="H11" s="3">
        <v>201.60499999999999</v>
      </c>
      <c r="I11" s="3">
        <v>125.69</v>
      </c>
      <c r="L11">
        <v>4</v>
      </c>
      <c r="M11" s="3">
        <v>125.69</v>
      </c>
    </row>
    <row r="12" spans="1:13">
      <c r="A12" t="s">
        <v>11</v>
      </c>
      <c r="B12">
        <v>514</v>
      </c>
      <c r="C12" t="s">
        <v>0</v>
      </c>
      <c r="D12">
        <v>4</v>
      </c>
      <c r="E12" s="1">
        <v>0.86330899999999999</v>
      </c>
      <c r="F12" s="2">
        <f>5536-4393</f>
        <v>1143</v>
      </c>
      <c r="G12" s="1">
        <v>-2</v>
      </c>
      <c r="H12" s="3">
        <v>203.2851</v>
      </c>
      <c r="I12" s="3">
        <v>125.7621</v>
      </c>
      <c r="L12">
        <v>4</v>
      </c>
      <c r="M12" s="3">
        <v>125.7621</v>
      </c>
    </row>
    <row r="13" spans="1:13">
      <c r="A13" t="s">
        <v>11</v>
      </c>
      <c r="B13">
        <v>514</v>
      </c>
      <c r="C13" t="s">
        <v>0</v>
      </c>
      <c r="D13">
        <v>4</v>
      </c>
      <c r="E13" s="1">
        <v>0.86307599999999995</v>
      </c>
      <c r="F13" s="2">
        <f>3234-2138</f>
        <v>1096</v>
      </c>
      <c r="G13" s="1">
        <v>-7</v>
      </c>
      <c r="H13" s="3">
        <v>215.18790000000001</v>
      </c>
      <c r="I13" s="3">
        <v>126.2564</v>
      </c>
      <c r="L13">
        <v>4</v>
      </c>
      <c r="M13" s="3">
        <v>126.2564</v>
      </c>
    </row>
    <row r="14" spans="1:13">
      <c r="A14" t="s">
        <v>11</v>
      </c>
      <c r="B14">
        <v>514</v>
      </c>
      <c r="C14" t="s">
        <v>0</v>
      </c>
      <c r="D14">
        <v>4</v>
      </c>
      <c r="E14" s="1">
        <v>0.90377700000000005</v>
      </c>
      <c r="F14" s="2">
        <f>3093-2032</f>
        <v>1061</v>
      </c>
      <c r="G14" s="1">
        <v>-6</v>
      </c>
      <c r="H14" s="3">
        <v>234.80600000000001</v>
      </c>
      <c r="I14" s="3">
        <v>127.0142</v>
      </c>
      <c r="L14">
        <v>4</v>
      </c>
      <c r="M14" s="3">
        <v>127.0142</v>
      </c>
    </row>
    <row r="15" spans="1:13">
      <c r="A15" t="s">
        <v>11</v>
      </c>
      <c r="B15">
        <v>514</v>
      </c>
      <c r="C15" t="s">
        <v>0</v>
      </c>
      <c r="D15">
        <v>4</v>
      </c>
      <c r="E15" s="1">
        <v>0.94087200000000004</v>
      </c>
      <c r="F15" s="2">
        <f>3504-2166</f>
        <v>1338</v>
      </c>
      <c r="G15" s="1">
        <v>5</v>
      </c>
      <c r="H15" s="3">
        <v>263.88389999999998</v>
      </c>
      <c r="I15" s="3">
        <v>128.0283</v>
      </c>
      <c r="L15">
        <v>4</v>
      </c>
      <c r="M15" s="3">
        <v>128.0283</v>
      </c>
    </row>
    <row r="16" spans="1:13">
      <c r="A16" t="s">
        <v>11</v>
      </c>
      <c r="B16">
        <v>514</v>
      </c>
      <c r="C16" t="s">
        <v>0</v>
      </c>
      <c r="D16">
        <v>4</v>
      </c>
      <c r="E16" s="1">
        <v>0.82284199999999996</v>
      </c>
      <c r="F16" s="4">
        <f>3270-2201</f>
        <v>1069</v>
      </c>
      <c r="G16" s="1">
        <v>13</v>
      </c>
      <c r="H16" s="3">
        <v>145.5479</v>
      </c>
      <c r="I16" s="3">
        <v>122.8601</v>
      </c>
      <c r="L16">
        <v>4</v>
      </c>
      <c r="M16" s="3">
        <v>122.8601</v>
      </c>
    </row>
    <row r="17" spans="1:13">
      <c r="A17" t="s">
        <v>11</v>
      </c>
      <c r="B17">
        <v>514</v>
      </c>
      <c r="C17" t="s">
        <v>0</v>
      </c>
      <c r="D17">
        <v>4</v>
      </c>
      <c r="E17" s="1">
        <v>0.77225699999999997</v>
      </c>
      <c r="F17" s="4">
        <f>3262-2194</f>
        <v>1068</v>
      </c>
      <c r="G17" s="1">
        <v>-1</v>
      </c>
      <c r="H17" s="3">
        <v>169.0179</v>
      </c>
      <c r="I17" s="3">
        <v>124.1587</v>
      </c>
      <c r="L17">
        <v>4</v>
      </c>
      <c r="M17" s="3">
        <v>124.1587</v>
      </c>
    </row>
    <row r="18" spans="1:13">
      <c r="A18" t="s">
        <v>11</v>
      </c>
      <c r="B18">
        <v>514</v>
      </c>
      <c r="C18" t="s">
        <v>0</v>
      </c>
      <c r="D18">
        <v>4</v>
      </c>
      <c r="E18" s="1">
        <v>0.80598000000000003</v>
      </c>
      <c r="F18" s="4">
        <f>3173-2168</f>
        <v>1005</v>
      </c>
      <c r="G18" s="1">
        <v>1</v>
      </c>
      <c r="H18" s="3">
        <v>202.4195</v>
      </c>
      <c r="I18" s="3">
        <v>125.72499999999999</v>
      </c>
      <c r="L18">
        <v>4</v>
      </c>
      <c r="M18" s="3">
        <v>125.72499999999999</v>
      </c>
    </row>
    <row r="19" spans="1:13">
      <c r="A19" t="s">
        <v>11</v>
      </c>
      <c r="B19">
        <v>514</v>
      </c>
      <c r="C19" t="s">
        <v>0</v>
      </c>
      <c r="D19">
        <v>4</v>
      </c>
      <c r="E19" s="1">
        <v>0.77225699999999997</v>
      </c>
      <c r="F19" s="4">
        <f>3267-2185</f>
        <v>1082</v>
      </c>
      <c r="G19" s="1">
        <v>0</v>
      </c>
      <c r="H19" s="3">
        <v>152.35239999999999</v>
      </c>
      <c r="I19" s="3">
        <v>123.25700000000001</v>
      </c>
      <c r="L19">
        <v>4</v>
      </c>
      <c r="M19" s="3">
        <v>123.25700000000001</v>
      </c>
    </row>
    <row r="20" spans="1:13">
      <c r="A20" t="s">
        <v>11</v>
      </c>
      <c r="B20">
        <v>514</v>
      </c>
      <c r="C20" t="s">
        <v>0</v>
      </c>
      <c r="D20">
        <v>4</v>
      </c>
      <c r="E20" s="1">
        <v>0.832959</v>
      </c>
      <c r="F20">
        <f>5245-4264</f>
        <v>981</v>
      </c>
      <c r="G20" s="1">
        <v>-3</v>
      </c>
      <c r="H20" s="3">
        <v>247.22669999999999</v>
      </c>
      <c r="I20" s="3">
        <v>127.4619</v>
      </c>
      <c r="L20">
        <v>4</v>
      </c>
      <c r="M20" s="3">
        <v>127.4619</v>
      </c>
    </row>
    <row r="21" spans="1:13">
      <c r="A21" t="s">
        <v>11</v>
      </c>
      <c r="B21">
        <v>514</v>
      </c>
      <c r="C21" t="s">
        <v>0</v>
      </c>
      <c r="D21">
        <v>5</v>
      </c>
      <c r="E21" s="1">
        <v>0.70818300000000001</v>
      </c>
      <c r="F21">
        <f>3237-2171</f>
        <v>1066</v>
      </c>
      <c r="G21" s="1">
        <v>1</v>
      </c>
      <c r="H21" s="3">
        <v>247.78200000000001</v>
      </c>
      <c r="I21" s="3">
        <v>127.48139999999999</v>
      </c>
      <c r="L21">
        <v>5</v>
      </c>
      <c r="M21" s="3">
        <v>127.48139999999999</v>
      </c>
    </row>
    <row r="22" spans="1:13">
      <c r="A22" t="s">
        <v>11</v>
      </c>
      <c r="B22">
        <v>514</v>
      </c>
      <c r="C22" t="s">
        <v>0</v>
      </c>
      <c r="D22">
        <v>5</v>
      </c>
      <c r="E22" s="1">
        <v>0.83970299999999998</v>
      </c>
      <c r="F22">
        <f>3219-2148</f>
        <v>1071</v>
      </c>
      <c r="G22" s="1">
        <v>2</v>
      </c>
      <c r="H22" s="3">
        <v>244.6617</v>
      </c>
      <c r="I22" s="3">
        <v>127.37130000000001</v>
      </c>
      <c r="L22">
        <v>5</v>
      </c>
      <c r="M22" s="3">
        <v>127.37130000000001</v>
      </c>
    </row>
    <row r="23" spans="1:13">
      <c r="A23" t="s">
        <v>11</v>
      </c>
      <c r="B23">
        <v>514</v>
      </c>
      <c r="C23" t="s">
        <v>0</v>
      </c>
      <c r="D23">
        <v>5</v>
      </c>
      <c r="E23" s="1">
        <v>1.0386690000000001</v>
      </c>
      <c r="F23">
        <f>3130-2147</f>
        <v>983</v>
      </c>
      <c r="G23" s="1">
        <v>-3</v>
      </c>
      <c r="H23" s="3">
        <v>256.49349999999998</v>
      </c>
      <c r="I23" s="3">
        <v>127.78149999999999</v>
      </c>
      <c r="L23">
        <v>5</v>
      </c>
      <c r="M23" s="3">
        <v>127.78149999999999</v>
      </c>
    </row>
    <row r="24" spans="1:13">
      <c r="A24" t="s">
        <v>11</v>
      </c>
      <c r="B24">
        <v>514</v>
      </c>
      <c r="C24" t="s">
        <v>0</v>
      </c>
      <c r="D24">
        <v>5</v>
      </c>
      <c r="E24" s="1">
        <v>0.92401100000000003</v>
      </c>
      <c r="F24">
        <f>3821-2735</f>
        <v>1086</v>
      </c>
      <c r="G24" s="1">
        <v>-1</v>
      </c>
      <c r="H24" s="3">
        <v>237.1728</v>
      </c>
      <c r="I24" s="3">
        <v>127.10129999999999</v>
      </c>
      <c r="L24">
        <v>5</v>
      </c>
      <c r="M24" s="3">
        <v>127.10129999999999</v>
      </c>
    </row>
    <row r="25" spans="1:13">
      <c r="A25" t="s">
        <v>11</v>
      </c>
      <c r="B25">
        <v>514</v>
      </c>
      <c r="C25" t="s">
        <v>0</v>
      </c>
      <c r="D25">
        <v>5</v>
      </c>
      <c r="E25" s="1">
        <v>0.92063799999999996</v>
      </c>
      <c r="F25">
        <f>3229-2141</f>
        <v>1088</v>
      </c>
      <c r="G25" s="1">
        <v>6</v>
      </c>
      <c r="H25" s="3">
        <v>285.4357</v>
      </c>
      <c r="I25" s="3">
        <v>128.71019999999999</v>
      </c>
      <c r="L25">
        <v>5</v>
      </c>
      <c r="M25" s="3">
        <v>128.71019999999999</v>
      </c>
    </row>
    <row r="26" spans="1:13">
      <c r="A26" t="s">
        <v>11</v>
      </c>
      <c r="B26">
        <v>514</v>
      </c>
      <c r="C26" t="s">
        <v>0</v>
      </c>
      <c r="D26">
        <v>5</v>
      </c>
      <c r="E26" s="1">
        <v>0.944245</v>
      </c>
      <c r="F26">
        <f>3167-2153</f>
        <v>1014</v>
      </c>
      <c r="G26" s="1">
        <f>24-36</f>
        <v>-12</v>
      </c>
      <c r="H26" s="3">
        <v>286.06060000000002</v>
      </c>
      <c r="I26" s="3">
        <v>128.72919999999999</v>
      </c>
      <c r="L26">
        <v>5</v>
      </c>
      <c r="M26" s="3">
        <v>128.72919999999999</v>
      </c>
    </row>
    <row r="27" spans="1:13">
      <c r="A27" t="s">
        <v>11</v>
      </c>
      <c r="B27">
        <v>519</v>
      </c>
      <c r="C27" t="s">
        <v>0</v>
      </c>
      <c r="D27">
        <v>2</v>
      </c>
      <c r="E27" s="1">
        <v>0.90741899999999998</v>
      </c>
      <c r="F27" s="2">
        <f>3280-2172</f>
        <v>1108</v>
      </c>
      <c r="G27" s="1">
        <v>1</v>
      </c>
      <c r="H27">
        <v>166.03790000000001</v>
      </c>
      <c r="I27">
        <v>124.00409999999999</v>
      </c>
      <c r="L27">
        <v>2</v>
      </c>
      <c r="M27">
        <v>124.00409999999999</v>
      </c>
    </row>
    <row r="28" spans="1:13">
      <c r="A28" t="s">
        <v>11</v>
      </c>
      <c r="B28">
        <v>519</v>
      </c>
      <c r="C28" t="s">
        <v>0</v>
      </c>
      <c r="D28">
        <v>2</v>
      </c>
      <c r="E28" s="1">
        <v>1.095998</v>
      </c>
      <c r="F28" s="2">
        <f>3178-2136</f>
        <v>1042</v>
      </c>
      <c r="G28" s="1">
        <f>44-38</f>
        <v>6</v>
      </c>
      <c r="H28">
        <v>167.8888</v>
      </c>
      <c r="I28">
        <v>124.10039999999999</v>
      </c>
      <c r="L28">
        <v>2</v>
      </c>
      <c r="M28">
        <v>124.10039999999999</v>
      </c>
    </row>
    <row r="29" spans="1:13">
      <c r="A29" t="s">
        <v>11</v>
      </c>
      <c r="B29">
        <v>519</v>
      </c>
      <c r="C29" t="s">
        <v>0</v>
      </c>
      <c r="D29">
        <v>2</v>
      </c>
      <c r="E29" s="1">
        <v>0.70481099999999997</v>
      </c>
      <c r="F29" s="2">
        <f>3259-2184</f>
        <v>1075</v>
      </c>
      <c r="G29" s="1">
        <v>-4</v>
      </c>
      <c r="H29">
        <v>169.81610000000001</v>
      </c>
      <c r="I29">
        <v>124.1996</v>
      </c>
      <c r="L29">
        <v>2</v>
      </c>
      <c r="M29">
        <v>124.1996</v>
      </c>
    </row>
    <row r="30" spans="1:13">
      <c r="A30" t="s">
        <v>11</v>
      </c>
      <c r="B30">
        <v>519</v>
      </c>
      <c r="C30" t="s">
        <v>0</v>
      </c>
      <c r="D30">
        <v>2</v>
      </c>
      <c r="E30" s="1">
        <v>0.98808499999999999</v>
      </c>
      <c r="F30" s="2">
        <f>3161-2066</f>
        <v>1095</v>
      </c>
      <c r="G30" s="1">
        <v>3</v>
      </c>
      <c r="H30">
        <v>190.09030000000001</v>
      </c>
      <c r="I30">
        <v>125.17919999999999</v>
      </c>
      <c r="L30">
        <v>2</v>
      </c>
      <c r="M30">
        <v>125.17919999999999</v>
      </c>
    </row>
    <row r="31" spans="1:13">
      <c r="A31" t="s">
        <v>11</v>
      </c>
      <c r="B31">
        <v>519</v>
      </c>
      <c r="C31" t="s">
        <v>0</v>
      </c>
      <c r="D31">
        <v>2</v>
      </c>
      <c r="E31" s="1">
        <v>1.0386690000000001</v>
      </c>
      <c r="F31" s="1">
        <f>3147-2093</f>
        <v>1054</v>
      </c>
      <c r="G31" s="1">
        <v>-4</v>
      </c>
      <c r="H31">
        <v>162.23179999999999</v>
      </c>
      <c r="I31">
        <v>123.8027</v>
      </c>
      <c r="L31">
        <v>2</v>
      </c>
      <c r="M31">
        <v>123.8027</v>
      </c>
    </row>
    <row r="32" spans="1:13">
      <c r="A32" t="s">
        <v>11</v>
      </c>
      <c r="B32">
        <v>519</v>
      </c>
      <c r="C32" t="s">
        <v>0</v>
      </c>
      <c r="D32">
        <v>2</v>
      </c>
      <c r="E32" s="1">
        <v>0.99482899999999996</v>
      </c>
      <c r="F32" s="1">
        <f>3114-2070</f>
        <v>1044</v>
      </c>
      <c r="G32" s="1">
        <v>-1</v>
      </c>
      <c r="H32">
        <v>197.77500000000001</v>
      </c>
      <c r="I32">
        <v>125.5234</v>
      </c>
      <c r="L32">
        <v>2</v>
      </c>
      <c r="M32">
        <v>125.5234</v>
      </c>
    </row>
    <row r="33" spans="1:13">
      <c r="A33" t="s">
        <v>11</v>
      </c>
      <c r="B33">
        <v>519</v>
      </c>
      <c r="C33" t="s">
        <v>0</v>
      </c>
      <c r="D33">
        <v>2</v>
      </c>
      <c r="E33" s="1">
        <v>0.85319199999999995</v>
      </c>
      <c r="F33" s="1">
        <f>3248-2147</f>
        <v>1101</v>
      </c>
      <c r="G33" s="1">
        <v>10</v>
      </c>
      <c r="H33">
        <v>194.5712</v>
      </c>
      <c r="I33">
        <v>125.38160000000001</v>
      </c>
      <c r="L33">
        <v>2</v>
      </c>
      <c r="M33">
        <v>125.38160000000001</v>
      </c>
    </row>
    <row r="34" spans="1:13">
      <c r="A34" t="s">
        <v>11</v>
      </c>
      <c r="B34">
        <v>519</v>
      </c>
      <c r="C34" t="s">
        <v>0</v>
      </c>
      <c r="D34">
        <v>2</v>
      </c>
      <c r="E34" s="1">
        <v>0.92063799999999996</v>
      </c>
      <c r="F34" s="1">
        <f>3075-2095</f>
        <v>980</v>
      </c>
      <c r="G34" s="1">
        <f>41-37</f>
        <v>4</v>
      </c>
      <c r="H34">
        <v>246.72309999999999</v>
      </c>
      <c r="I34">
        <v>127.4442</v>
      </c>
      <c r="L34">
        <v>2</v>
      </c>
      <c r="M34">
        <v>127.4442</v>
      </c>
    </row>
    <row r="35" spans="1:13">
      <c r="A35" t="s">
        <v>11</v>
      </c>
      <c r="B35">
        <v>519</v>
      </c>
      <c r="C35" t="s">
        <v>0</v>
      </c>
      <c r="D35">
        <v>2</v>
      </c>
      <c r="E35" s="1">
        <v>0.97122299999999995</v>
      </c>
      <c r="F35" s="2">
        <f>3220-2141</f>
        <v>1079</v>
      </c>
      <c r="G35" s="1">
        <v>0</v>
      </c>
      <c r="H35">
        <v>241.88130000000001</v>
      </c>
      <c r="I35">
        <v>127.27200000000001</v>
      </c>
      <c r="L35">
        <v>2</v>
      </c>
      <c r="M35">
        <v>127.27200000000001</v>
      </c>
    </row>
    <row r="36" spans="1:13">
      <c r="A36" t="s">
        <v>11</v>
      </c>
      <c r="B36">
        <v>519</v>
      </c>
      <c r="C36" t="s">
        <v>0</v>
      </c>
      <c r="D36">
        <v>2</v>
      </c>
      <c r="E36" s="1">
        <v>0.88354299999999997</v>
      </c>
      <c r="F36" s="2">
        <f>3344-2162</f>
        <v>1182</v>
      </c>
      <c r="G36" s="1">
        <v>5</v>
      </c>
      <c r="H36">
        <v>251.6063</v>
      </c>
      <c r="I36">
        <v>127.6144</v>
      </c>
      <c r="L36">
        <v>2</v>
      </c>
      <c r="M36">
        <v>127.6144</v>
      </c>
    </row>
    <row r="37" spans="1:13">
      <c r="A37" t="s">
        <v>11</v>
      </c>
      <c r="B37">
        <v>519</v>
      </c>
      <c r="C37" t="s">
        <v>0</v>
      </c>
      <c r="D37">
        <v>2</v>
      </c>
      <c r="E37" s="1">
        <v>0.95773399999999997</v>
      </c>
      <c r="F37" s="2">
        <f>3243-2166</f>
        <v>1077</v>
      </c>
      <c r="G37" s="1">
        <f>29-33</f>
        <v>-4</v>
      </c>
      <c r="H37">
        <v>263.07900000000001</v>
      </c>
      <c r="I37">
        <v>128.0017</v>
      </c>
      <c r="L37">
        <v>2</v>
      </c>
      <c r="M37">
        <v>128.0017</v>
      </c>
    </row>
    <row r="38" spans="1:13">
      <c r="A38" t="s">
        <v>11</v>
      </c>
      <c r="B38">
        <v>519</v>
      </c>
      <c r="C38" t="s">
        <v>0</v>
      </c>
      <c r="D38">
        <v>2</v>
      </c>
      <c r="E38" s="1">
        <v>0.99145700000000003</v>
      </c>
      <c r="F38" s="2">
        <f>3242-2124</f>
        <v>1118</v>
      </c>
      <c r="G38" s="2">
        <f>36-27</f>
        <v>9</v>
      </c>
      <c r="H38">
        <v>190.41970000000001</v>
      </c>
      <c r="I38">
        <v>125.1942</v>
      </c>
      <c r="L38">
        <v>2</v>
      </c>
      <c r="M38">
        <v>125.1942</v>
      </c>
    </row>
    <row r="39" spans="1:13">
      <c r="A39" t="s">
        <v>11</v>
      </c>
      <c r="B39">
        <v>519</v>
      </c>
      <c r="C39" t="s">
        <v>0</v>
      </c>
      <c r="D39">
        <v>2</v>
      </c>
      <c r="E39" s="1">
        <v>0.98143000000000002</v>
      </c>
      <c r="F39" s="2">
        <f>3103-2113</f>
        <v>990</v>
      </c>
      <c r="G39" s="2">
        <v>3</v>
      </c>
      <c r="H39">
        <v>176.32929999999999</v>
      </c>
      <c r="I39">
        <v>124.5265</v>
      </c>
      <c r="L39">
        <v>2</v>
      </c>
      <c r="M39">
        <v>124.5265</v>
      </c>
    </row>
    <row r="40" spans="1:13">
      <c r="A40" t="s">
        <v>11</v>
      </c>
      <c r="B40">
        <v>519</v>
      </c>
      <c r="C40" t="s">
        <v>0</v>
      </c>
      <c r="D40">
        <v>2</v>
      </c>
      <c r="E40" s="1">
        <v>1.119604</v>
      </c>
      <c r="F40" s="2">
        <f>3123-2070</f>
        <v>1053</v>
      </c>
      <c r="G40" s="1">
        <v>6</v>
      </c>
      <c r="H40">
        <v>138.75700000000001</v>
      </c>
      <c r="I40">
        <v>122.4451</v>
      </c>
      <c r="L40">
        <v>2</v>
      </c>
      <c r="M40">
        <v>122.4451</v>
      </c>
    </row>
    <row r="41" spans="1:13">
      <c r="A41" t="s">
        <v>11</v>
      </c>
      <c r="B41">
        <v>519</v>
      </c>
      <c r="C41" t="s">
        <v>0</v>
      </c>
      <c r="D41">
        <v>2</v>
      </c>
      <c r="E41" s="1">
        <v>1.23089</v>
      </c>
      <c r="F41" s="2">
        <f>3032-2028</f>
        <v>1004</v>
      </c>
      <c r="G41" s="1">
        <v>1</v>
      </c>
      <c r="H41">
        <v>119.1931</v>
      </c>
      <c r="I41">
        <v>121.125</v>
      </c>
      <c r="L41">
        <v>2</v>
      </c>
      <c r="M41">
        <v>121.125</v>
      </c>
    </row>
    <row r="42" spans="1:13">
      <c r="A42" t="s">
        <v>11</v>
      </c>
      <c r="B42">
        <v>519</v>
      </c>
      <c r="C42" t="s">
        <v>0</v>
      </c>
      <c r="D42">
        <v>2</v>
      </c>
      <c r="E42" s="1">
        <v>1.153327</v>
      </c>
      <c r="F42" s="2">
        <f>2926-1978</f>
        <v>948</v>
      </c>
      <c r="G42" s="1">
        <v>-2</v>
      </c>
      <c r="H42">
        <v>142.32679999999999</v>
      </c>
      <c r="I42">
        <v>122.6657</v>
      </c>
      <c r="L42">
        <v>2</v>
      </c>
      <c r="M42">
        <v>122.6657</v>
      </c>
    </row>
    <row r="43" spans="1:13">
      <c r="A43" t="s">
        <v>11</v>
      </c>
      <c r="B43">
        <v>519</v>
      </c>
      <c r="C43" t="s">
        <v>0</v>
      </c>
      <c r="D43">
        <v>2</v>
      </c>
      <c r="E43" s="1">
        <v>0.9375</v>
      </c>
      <c r="F43" s="2">
        <f>3138-2109</f>
        <v>1029</v>
      </c>
      <c r="G43" s="1">
        <v>7</v>
      </c>
      <c r="H43">
        <v>135.0307</v>
      </c>
      <c r="I43">
        <v>122.20869999999999</v>
      </c>
      <c r="L43">
        <v>2</v>
      </c>
      <c r="M43">
        <v>122.20869999999999</v>
      </c>
    </row>
    <row r="44" spans="1:13">
      <c r="A44" t="s">
        <v>11</v>
      </c>
      <c r="B44">
        <v>519</v>
      </c>
      <c r="C44" t="s">
        <v>0</v>
      </c>
      <c r="D44">
        <v>2</v>
      </c>
      <c r="E44" s="1">
        <v>1.1701889999999999</v>
      </c>
      <c r="F44" s="2">
        <f>3095-2045</f>
        <v>1050</v>
      </c>
      <c r="G44" s="1">
        <v>3</v>
      </c>
      <c r="H44">
        <v>149.99510000000001</v>
      </c>
      <c r="I44">
        <v>123.1215</v>
      </c>
      <c r="L44">
        <v>2</v>
      </c>
      <c r="M44">
        <v>123.1215</v>
      </c>
    </row>
    <row r="45" spans="1:13">
      <c r="A45" t="s">
        <v>11</v>
      </c>
      <c r="B45">
        <v>519</v>
      </c>
      <c r="C45" t="s">
        <v>0</v>
      </c>
      <c r="D45">
        <v>2</v>
      </c>
      <c r="E45" s="1">
        <v>1.0352969999999999</v>
      </c>
      <c r="F45" s="2">
        <f>3163-2121</f>
        <v>1042</v>
      </c>
      <c r="G45" s="1">
        <f>46-38</f>
        <v>8</v>
      </c>
      <c r="H45">
        <v>163.61519999999999</v>
      </c>
      <c r="I45">
        <v>123.87649999999999</v>
      </c>
      <c r="L45">
        <v>2</v>
      </c>
      <c r="M45">
        <v>123.87649999999999</v>
      </c>
    </row>
    <row r="46" spans="1:13">
      <c r="A46" t="s">
        <v>11</v>
      </c>
      <c r="B46">
        <v>519</v>
      </c>
      <c r="C46" t="s">
        <v>0</v>
      </c>
      <c r="D46">
        <v>2</v>
      </c>
      <c r="E46" s="1">
        <v>1.1634439999999999</v>
      </c>
      <c r="F46" s="2">
        <f>3111-2079</f>
        <v>1032</v>
      </c>
      <c r="G46" s="1">
        <v>-1</v>
      </c>
      <c r="H46">
        <v>199.59899999999999</v>
      </c>
      <c r="I46">
        <v>125.6032</v>
      </c>
      <c r="L46">
        <v>2</v>
      </c>
      <c r="M46">
        <v>125.6032</v>
      </c>
    </row>
    <row r="47" spans="1:13">
      <c r="A47" t="s">
        <v>11</v>
      </c>
      <c r="B47">
        <v>519</v>
      </c>
      <c r="C47" t="s">
        <v>0</v>
      </c>
      <c r="D47">
        <v>2</v>
      </c>
      <c r="E47" s="1">
        <v>0.944245</v>
      </c>
      <c r="F47" s="2">
        <f>3205-2124</f>
        <v>1081</v>
      </c>
      <c r="G47" s="1">
        <v>4</v>
      </c>
      <c r="H47">
        <v>163.01900000000001</v>
      </c>
      <c r="I47">
        <v>123.84480000000001</v>
      </c>
      <c r="L47">
        <v>2</v>
      </c>
      <c r="M47">
        <v>123.84480000000001</v>
      </c>
    </row>
    <row r="48" spans="1:13">
      <c r="A48" t="s">
        <v>11</v>
      </c>
      <c r="B48">
        <v>519</v>
      </c>
      <c r="C48" t="s">
        <v>0</v>
      </c>
      <c r="D48">
        <v>2</v>
      </c>
      <c r="E48" s="1">
        <v>1.1398379999999999</v>
      </c>
      <c r="F48" s="2">
        <f>3198-2131</f>
        <v>1067</v>
      </c>
      <c r="G48" s="1">
        <v>6</v>
      </c>
      <c r="H48">
        <v>214.9701</v>
      </c>
      <c r="I48">
        <v>126.24760000000001</v>
      </c>
      <c r="L48">
        <v>2</v>
      </c>
      <c r="M48">
        <v>126.24760000000001</v>
      </c>
    </row>
    <row r="49" spans="1:13">
      <c r="A49" t="s">
        <v>11</v>
      </c>
      <c r="B49">
        <v>519</v>
      </c>
      <c r="C49" t="s">
        <v>0</v>
      </c>
      <c r="D49">
        <v>2</v>
      </c>
      <c r="E49" s="1">
        <v>1.0116909999999999</v>
      </c>
      <c r="F49" s="2">
        <f>3190-2123</f>
        <v>1067</v>
      </c>
      <c r="G49" s="1">
        <v>8</v>
      </c>
      <c r="H49">
        <v>146.77080000000001</v>
      </c>
      <c r="I49">
        <v>122.9328</v>
      </c>
      <c r="L49">
        <v>2</v>
      </c>
      <c r="M49">
        <v>122.9328</v>
      </c>
    </row>
    <row r="50" spans="1:13">
      <c r="A50" t="s">
        <v>11</v>
      </c>
      <c r="B50">
        <v>519</v>
      </c>
      <c r="C50" t="s">
        <v>0</v>
      </c>
      <c r="D50">
        <v>2</v>
      </c>
      <c r="E50" s="1">
        <v>1.0622750000000001</v>
      </c>
      <c r="F50" s="2">
        <f>3182-2138</f>
        <v>1044</v>
      </c>
      <c r="G50" s="1">
        <v>1</v>
      </c>
      <c r="H50">
        <v>140.75</v>
      </c>
      <c r="I50">
        <v>122.569</v>
      </c>
      <c r="L50">
        <v>2</v>
      </c>
      <c r="M50">
        <v>122.569</v>
      </c>
    </row>
    <row r="51" spans="1:13">
      <c r="A51" t="s">
        <v>11</v>
      </c>
      <c r="B51">
        <v>519</v>
      </c>
      <c r="C51" t="s">
        <v>0</v>
      </c>
      <c r="D51">
        <v>2</v>
      </c>
      <c r="E51" s="1">
        <v>1.0622750000000001</v>
      </c>
      <c r="F51" s="2">
        <f>3144-2077</f>
        <v>1067</v>
      </c>
      <c r="G51" s="1">
        <v>5</v>
      </c>
      <c r="H51">
        <v>144.89680000000001</v>
      </c>
      <c r="I51">
        <v>122.8212</v>
      </c>
      <c r="L51">
        <v>2</v>
      </c>
      <c r="M51">
        <v>122.8212</v>
      </c>
    </row>
    <row r="52" spans="1:13">
      <c r="A52" t="s">
        <v>11</v>
      </c>
      <c r="B52">
        <v>519</v>
      </c>
      <c r="C52" t="s">
        <v>0</v>
      </c>
      <c r="D52">
        <v>2</v>
      </c>
      <c r="E52" s="1">
        <v>0.93412799999999996</v>
      </c>
      <c r="F52" s="2">
        <f>3144-2092</f>
        <v>1052</v>
      </c>
      <c r="G52" s="1">
        <v>6</v>
      </c>
      <c r="H52">
        <v>167.4682</v>
      </c>
      <c r="I52">
        <v>124.07859999999999</v>
      </c>
      <c r="L52">
        <v>2</v>
      </c>
      <c r="M52">
        <v>124.07859999999999</v>
      </c>
    </row>
    <row r="53" spans="1:13">
      <c r="A53" t="s">
        <v>11</v>
      </c>
      <c r="B53">
        <v>519</v>
      </c>
      <c r="C53" t="s">
        <v>0</v>
      </c>
      <c r="D53">
        <v>2</v>
      </c>
      <c r="E53" s="1">
        <v>1.1499550000000001</v>
      </c>
      <c r="F53" s="2">
        <f>3147-2197</f>
        <v>950</v>
      </c>
      <c r="G53" s="1">
        <v>-1</v>
      </c>
      <c r="H53">
        <v>189.92769999999999</v>
      </c>
      <c r="I53">
        <v>125.1718</v>
      </c>
      <c r="L53">
        <v>2</v>
      </c>
      <c r="M53">
        <v>125.1718</v>
      </c>
    </row>
    <row r="54" spans="1:13">
      <c r="A54" t="s">
        <v>11</v>
      </c>
      <c r="B54">
        <v>519</v>
      </c>
      <c r="C54" t="s">
        <v>0</v>
      </c>
      <c r="D54">
        <v>2</v>
      </c>
      <c r="E54" s="1">
        <v>1.018435</v>
      </c>
      <c r="F54" s="2">
        <f>3397-2103</f>
        <v>1294</v>
      </c>
      <c r="G54" s="1">
        <v>9</v>
      </c>
      <c r="H54">
        <v>192.1694</v>
      </c>
      <c r="I54">
        <v>125.27370000000001</v>
      </c>
      <c r="L54">
        <v>2</v>
      </c>
      <c r="M54">
        <v>125.27370000000001</v>
      </c>
    </row>
    <row r="55" spans="1:13">
      <c r="A55" t="s">
        <v>11</v>
      </c>
      <c r="B55">
        <v>519</v>
      </c>
      <c r="C55" t="s">
        <v>0</v>
      </c>
      <c r="D55">
        <v>2</v>
      </c>
      <c r="E55" s="1">
        <v>0.99482899999999996</v>
      </c>
      <c r="F55" s="2">
        <f>3110-2034</f>
        <v>1076</v>
      </c>
      <c r="G55" s="1">
        <v>2</v>
      </c>
      <c r="H55">
        <v>189.82259999999999</v>
      </c>
      <c r="I55">
        <v>125.167</v>
      </c>
      <c r="L55">
        <v>2</v>
      </c>
      <c r="M55">
        <v>125.167</v>
      </c>
    </row>
    <row r="56" spans="1:13">
      <c r="A56" t="s">
        <v>11</v>
      </c>
      <c r="B56">
        <v>519</v>
      </c>
      <c r="C56" t="s">
        <v>0</v>
      </c>
      <c r="D56">
        <v>2</v>
      </c>
      <c r="E56" s="1">
        <v>0.90040500000000001</v>
      </c>
      <c r="F56" s="2">
        <f>3228-2130</f>
        <v>1098</v>
      </c>
      <c r="G56" s="1">
        <v>9</v>
      </c>
      <c r="H56">
        <v>244.88290000000001</v>
      </c>
      <c r="I56">
        <v>127.3792</v>
      </c>
      <c r="L56">
        <v>2</v>
      </c>
      <c r="M56">
        <v>127.3792</v>
      </c>
    </row>
    <row r="57" spans="1:13">
      <c r="A57" t="s">
        <v>11</v>
      </c>
      <c r="B57">
        <v>519</v>
      </c>
      <c r="C57" t="s">
        <v>0</v>
      </c>
      <c r="D57">
        <v>2</v>
      </c>
      <c r="E57" s="1">
        <v>0.97459499999999999</v>
      </c>
      <c r="F57" s="2">
        <f>3126-2079</f>
        <v>1047</v>
      </c>
      <c r="G57" s="1">
        <v>-3</v>
      </c>
      <c r="H57">
        <v>208.15799999999999</v>
      </c>
      <c r="I57">
        <v>125.9679</v>
      </c>
      <c r="L57">
        <v>2</v>
      </c>
      <c r="M57">
        <v>125.9679</v>
      </c>
    </row>
    <row r="58" spans="1:13">
      <c r="A58" t="s">
        <v>11</v>
      </c>
      <c r="B58">
        <v>519</v>
      </c>
      <c r="C58" t="s">
        <v>0</v>
      </c>
      <c r="D58">
        <v>2</v>
      </c>
      <c r="E58" s="1">
        <v>1.0621579999999999</v>
      </c>
      <c r="F58" s="2">
        <f>3281-2160</f>
        <v>1121</v>
      </c>
      <c r="G58" s="1">
        <v>0</v>
      </c>
      <c r="H58">
        <v>200.078</v>
      </c>
      <c r="I58">
        <v>125.624</v>
      </c>
      <c r="L58">
        <v>2</v>
      </c>
      <c r="M58">
        <v>125.624</v>
      </c>
    </row>
    <row r="59" spans="1:13">
      <c r="A59" t="s">
        <v>11</v>
      </c>
      <c r="B59">
        <v>519</v>
      </c>
      <c r="C59" t="s">
        <v>0</v>
      </c>
      <c r="D59">
        <v>2</v>
      </c>
      <c r="E59" s="1">
        <v>1.008318</v>
      </c>
      <c r="F59" s="2">
        <f>3057-2074</f>
        <v>983</v>
      </c>
      <c r="G59" s="1">
        <v>2</v>
      </c>
      <c r="H59">
        <v>215.8408</v>
      </c>
      <c r="I59">
        <v>126.28270000000001</v>
      </c>
      <c r="L59">
        <v>2</v>
      </c>
      <c r="M59">
        <v>126.28270000000001</v>
      </c>
    </row>
    <row r="60" spans="1:13">
      <c r="A60" t="s">
        <v>11</v>
      </c>
      <c r="B60">
        <v>519</v>
      </c>
      <c r="C60" t="s">
        <v>0</v>
      </c>
      <c r="D60">
        <v>2</v>
      </c>
      <c r="E60" s="1">
        <v>0.99145700000000003</v>
      </c>
      <c r="F60" s="2">
        <f>2998-2137</f>
        <v>861</v>
      </c>
      <c r="G60" s="1">
        <f>46-34</f>
        <v>12</v>
      </c>
      <c r="H60">
        <v>212.50389999999999</v>
      </c>
      <c r="I60">
        <v>126.1473</v>
      </c>
      <c r="L60">
        <v>2</v>
      </c>
      <c r="M60">
        <v>126.1473</v>
      </c>
    </row>
    <row r="61" spans="1:13">
      <c r="A61" t="s">
        <v>11</v>
      </c>
      <c r="B61">
        <v>519</v>
      </c>
      <c r="C61" t="s">
        <v>0</v>
      </c>
      <c r="D61">
        <v>2</v>
      </c>
      <c r="E61" s="1">
        <v>1.0352969999999999</v>
      </c>
      <c r="F61" s="2">
        <f>3168-2069</f>
        <v>1099</v>
      </c>
      <c r="G61" s="2">
        <f>38-45</f>
        <v>-7</v>
      </c>
      <c r="H61">
        <v>183.33109999999999</v>
      </c>
      <c r="I61">
        <v>124.8647</v>
      </c>
      <c r="L61">
        <v>2</v>
      </c>
      <c r="M61">
        <v>124.8647</v>
      </c>
    </row>
    <row r="62" spans="1:13">
      <c r="A62" t="s">
        <v>11</v>
      </c>
      <c r="B62">
        <v>519</v>
      </c>
      <c r="C62" t="s">
        <v>0</v>
      </c>
      <c r="D62">
        <v>2</v>
      </c>
      <c r="E62" s="1">
        <v>1.065647</v>
      </c>
      <c r="F62" s="2">
        <f>3122-2113</f>
        <v>1009</v>
      </c>
      <c r="G62" s="1">
        <v>0</v>
      </c>
      <c r="H62">
        <v>206.16249999999999</v>
      </c>
      <c r="I62">
        <v>125.88420000000001</v>
      </c>
      <c r="L62">
        <v>2</v>
      </c>
      <c r="M62">
        <v>125.88420000000001</v>
      </c>
    </row>
    <row r="63" spans="1:13">
      <c r="A63" t="s">
        <v>11</v>
      </c>
      <c r="B63">
        <v>519</v>
      </c>
      <c r="C63" t="s">
        <v>0</v>
      </c>
      <c r="D63">
        <v>2</v>
      </c>
      <c r="E63" s="1">
        <v>1.6490560000000001</v>
      </c>
      <c r="F63" s="2">
        <f>3148-2118</f>
        <v>1030</v>
      </c>
      <c r="G63" s="1">
        <v>-3</v>
      </c>
      <c r="H63">
        <v>213.4273</v>
      </c>
      <c r="I63">
        <v>126.185</v>
      </c>
      <c r="L63">
        <v>2</v>
      </c>
      <c r="M63">
        <v>126.185</v>
      </c>
    </row>
    <row r="64" spans="1:13">
      <c r="A64" t="s">
        <v>11</v>
      </c>
      <c r="B64">
        <v>519</v>
      </c>
      <c r="C64" t="s">
        <v>0</v>
      </c>
      <c r="D64">
        <v>4</v>
      </c>
      <c r="E64" s="1">
        <v>1.272073</v>
      </c>
      <c r="F64" s="2">
        <f>3137-2089</f>
        <v>1048</v>
      </c>
      <c r="G64" s="1">
        <v>3</v>
      </c>
      <c r="H64">
        <v>218.30199999999999</v>
      </c>
      <c r="I64">
        <v>126.38120000000001</v>
      </c>
      <c r="L64">
        <v>4</v>
      </c>
      <c r="M64">
        <v>126.38120000000001</v>
      </c>
    </row>
    <row r="65" spans="1:13">
      <c r="A65" t="s">
        <v>11</v>
      </c>
      <c r="B65">
        <v>519</v>
      </c>
      <c r="C65" t="s">
        <v>0</v>
      </c>
      <c r="D65">
        <v>4</v>
      </c>
      <c r="E65" s="1">
        <v>1.6187050000000001</v>
      </c>
      <c r="F65" s="2">
        <f>3364-2161</f>
        <v>1203</v>
      </c>
      <c r="G65" s="1">
        <v>5</v>
      </c>
      <c r="H65">
        <v>211.74760000000001</v>
      </c>
      <c r="I65">
        <v>126.1164</v>
      </c>
      <c r="L65">
        <v>4</v>
      </c>
      <c r="M65">
        <v>126.1164</v>
      </c>
    </row>
    <row r="66" spans="1:13">
      <c r="A66" t="s">
        <v>11</v>
      </c>
      <c r="B66">
        <v>519</v>
      </c>
      <c r="C66" t="s">
        <v>0</v>
      </c>
      <c r="D66">
        <v>3</v>
      </c>
      <c r="E66" s="1">
        <v>1.0116909999999999</v>
      </c>
      <c r="F66" s="2">
        <f>3146-2101</f>
        <v>1045</v>
      </c>
      <c r="G66" s="1">
        <v>2</v>
      </c>
      <c r="H66">
        <v>125.8729</v>
      </c>
      <c r="I66">
        <v>121.5986</v>
      </c>
      <c r="L66">
        <v>3</v>
      </c>
      <c r="M66">
        <v>121.5986</v>
      </c>
    </row>
    <row r="67" spans="1:13">
      <c r="A67" t="s">
        <v>11</v>
      </c>
      <c r="B67">
        <v>519</v>
      </c>
      <c r="C67" t="s">
        <v>0</v>
      </c>
      <c r="D67">
        <v>3</v>
      </c>
      <c r="E67" s="1">
        <v>1.0319240000000001</v>
      </c>
      <c r="F67" s="2">
        <f>3526-2373</f>
        <v>1153</v>
      </c>
      <c r="G67" s="1">
        <v>-3</v>
      </c>
      <c r="H67">
        <v>135.23939999999999</v>
      </c>
      <c r="I67">
        <v>122.2221</v>
      </c>
      <c r="L67">
        <v>3</v>
      </c>
      <c r="M67">
        <v>122.2221</v>
      </c>
    </row>
    <row r="68" spans="1:13">
      <c r="A68" t="s">
        <v>11</v>
      </c>
      <c r="B68">
        <v>519</v>
      </c>
      <c r="C68" t="s">
        <v>0</v>
      </c>
      <c r="D68">
        <v>4</v>
      </c>
      <c r="E68" s="1">
        <v>1.0386690000000001</v>
      </c>
      <c r="F68">
        <f>3176-2088</f>
        <v>1088</v>
      </c>
      <c r="G68" s="1">
        <v>-4</v>
      </c>
      <c r="H68">
        <v>195.53530000000001</v>
      </c>
      <c r="I68">
        <v>125.42449999999999</v>
      </c>
      <c r="L68">
        <v>4</v>
      </c>
      <c r="M68">
        <v>125.42449999999999</v>
      </c>
    </row>
    <row r="69" spans="1:13">
      <c r="A69" t="s">
        <v>11</v>
      </c>
      <c r="B69">
        <v>519</v>
      </c>
      <c r="C69" t="s">
        <v>0</v>
      </c>
      <c r="D69">
        <v>3</v>
      </c>
      <c r="E69" s="1">
        <v>0.96110600000000002</v>
      </c>
      <c r="F69">
        <f>3064-2040</f>
        <v>1024</v>
      </c>
      <c r="G69" s="1">
        <v>-10</v>
      </c>
      <c r="H69">
        <v>172.0232</v>
      </c>
      <c r="I69">
        <v>124.3117</v>
      </c>
      <c r="L69">
        <v>3</v>
      </c>
      <c r="M69">
        <v>124.3117</v>
      </c>
    </row>
    <row r="70" spans="1:13">
      <c r="A70" t="s">
        <v>11</v>
      </c>
      <c r="B70">
        <v>519</v>
      </c>
      <c r="C70" t="s">
        <v>0</v>
      </c>
      <c r="D70">
        <v>1</v>
      </c>
      <c r="E70" s="1">
        <v>1.0926260000000001</v>
      </c>
      <c r="F70">
        <f>3185-2135</f>
        <v>1050</v>
      </c>
      <c r="G70" s="1">
        <v>-4</v>
      </c>
      <c r="H70">
        <v>161.85169999999999</v>
      </c>
      <c r="I70">
        <v>123.78230000000001</v>
      </c>
      <c r="L70">
        <v>1</v>
      </c>
      <c r="M70">
        <v>123.78230000000001</v>
      </c>
    </row>
    <row r="71" spans="1:13">
      <c r="A71" t="s">
        <v>11</v>
      </c>
      <c r="B71">
        <v>519</v>
      </c>
      <c r="C71" t="s">
        <v>0</v>
      </c>
      <c r="D71">
        <v>2</v>
      </c>
      <c r="E71" s="1">
        <v>0.88691500000000001</v>
      </c>
      <c r="F71">
        <f>3339-2220</f>
        <v>1119</v>
      </c>
      <c r="G71" s="1">
        <v>8</v>
      </c>
      <c r="H71">
        <v>140.86930000000001</v>
      </c>
      <c r="I71">
        <v>122.5763</v>
      </c>
      <c r="L71">
        <v>2</v>
      </c>
      <c r="M71">
        <v>122.5763</v>
      </c>
    </row>
    <row r="72" spans="1:13">
      <c r="A72" t="s">
        <v>11</v>
      </c>
      <c r="B72">
        <v>519</v>
      </c>
      <c r="C72" t="s">
        <v>0</v>
      </c>
      <c r="D72">
        <v>2</v>
      </c>
      <c r="E72" s="1">
        <v>0.92738299999999996</v>
      </c>
      <c r="F72">
        <f>2998-2004</f>
        <v>994</v>
      </c>
      <c r="G72" s="1">
        <v>2</v>
      </c>
      <c r="H72">
        <v>208.84049999999999</v>
      </c>
      <c r="I72">
        <v>125.99630000000001</v>
      </c>
      <c r="L72">
        <v>2</v>
      </c>
      <c r="M72">
        <v>125.99630000000001</v>
      </c>
    </row>
    <row r="73" spans="1:13">
      <c r="A73" t="s">
        <v>11</v>
      </c>
      <c r="B73">
        <v>519</v>
      </c>
      <c r="C73" t="s">
        <v>0</v>
      </c>
      <c r="D73">
        <v>2</v>
      </c>
      <c r="E73" s="1">
        <v>0.85993699999999995</v>
      </c>
      <c r="F73">
        <f>2766-2194</f>
        <v>572</v>
      </c>
      <c r="G73" s="1">
        <v>2</v>
      </c>
      <c r="H73">
        <v>177.2379</v>
      </c>
      <c r="I73">
        <v>124.5711</v>
      </c>
      <c r="L73">
        <v>2</v>
      </c>
      <c r="M73">
        <v>124.5711</v>
      </c>
    </row>
    <row r="74" spans="1:13">
      <c r="A74" t="s">
        <v>11</v>
      </c>
      <c r="B74">
        <v>519</v>
      </c>
      <c r="C74" t="s">
        <v>0</v>
      </c>
      <c r="D74">
        <v>2</v>
      </c>
      <c r="E74" s="1">
        <v>0.97122299999999995</v>
      </c>
      <c r="F74">
        <f>3181-2147</f>
        <v>1034</v>
      </c>
      <c r="G74" s="1">
        <v>5</v>
      </c>
      <c r="H74">
        <v>192.69640000000001</v>
      </c>
      <c r="I74">
        <v>125.2975</v>
      </c>
      <c r="L74">
        <v>2</v>
      </c>
      <c r="M74">
        <v>125.2975</v>
      </c>
    </row>
    <row r="75" spans="1:13">
      <c r="A75" t="s">
        <v>11</v>
      </c>
      <c r="B75">
        <v>519</v>
      </c>
      <c r="C75" t="s">
        <v>0</v>
      </c>
      <c r="D75">
        <v>2</v>
      </c>
      <c r="E75" s="1">
        <v>1.4163669999999999</v>
      </c>
      <c r="F75">
        <f>3212-2083</f>
        <v>1129</v>
      </c>
      <c r="G75">
        <f>33-41</f>
        <v>-8</v>
      </c>
      <c r="H75">
        <v>207.92590000000001</v>
      </c>
      <c r="I75">
        <v>125.95820000000001</v>
      </c>
      <c r="L75">
        <v>2</v>
      </c>
      <c r="M75">
        <v>125.95820000000001</v>
      </c>
    </row>
    <row r="76" spans="1:13">
      <c r="A76" t="s">
        <v>11</v>
      </c>
      <c r="B76">
        <v>519</v>
      </c>
      <c r="C76" t="s">
        <v>0</v>
      </c>
      <c r="D76">
        <v>2</v>
      </c>
      <c r="E76" s="1">
        <v>0.98471200000000003</v>
      </c>
      <c r="F76">
        <f>3598-2729</f>
        <v>869</v>
      </c>
      <c r="G76">
        <v>2</v>
      </c>
      <c r="H76">
        <v>177.89840000000001</v>
      </c>
      <c r="I76">
        <v>124.60339999999999</v>
      </c>
      <c r="L76">
        <v>2</v>
      </c>
      <c r="M76">
        <v>124.60339999999999</v>
      </c>
    </row>
    <row r="77" spans="1:13">
      <c r="A77" t="s">
        <v>11</v>
      </c>
      <c r="B77">
        <v>519</v>
      </c>
      <c r="C77" t="s">
        <v>0</v>
      </c>
      <c r="D77">
        <v>2</v>
      </c>
      <c r="E77" s="1">
        <v>1.0757639999999999</v>
      </c>
      <c r="F77">
        <f>3033-2014</f>
        <v>1019</v>
      </c>
      <c r="G77">
        <v>5</v>
      </c>
      <c r="H77">
        <v>205.19929999999999</v>
      </c>
      <c r="I77">
        <v>125.84350000000001</v>
      </c>
      <c r="L77">
        <v>2</v>
      </c>
      <c r="M77">
        <v>125.84350000000001</v>
      </c>
    </row>
    <row r="78" spans="1:13">
      <c r="A78" t="s">
        <v>11</v>
      </c>
      <c r="B78">
        <v>519</v>
      </c>
      <c r="C78" t="s">
        <v>0</v>
      </c>
      <c r="D78">
        <v>1</v>
      </c>
      <c r="E78" s="1">
        <v>0.98808499999999999</v>
      </c>
      <c r="F78">
        <f>3150-2108</f>
        <v>1042</v>
      </c>
      <c r="G78">
        <f>39-48</f>
        <v>-9</v>
      </c>
      <c r="H78">
        <v>115.45569999999999</v>
      </c>
      <c r="I78">
        <v>120.84829999999999</v>
      </c>
      <c r="L78">
        <v>1</v>
      </c>
      <c r="M78">
        <v>120.84829999999999</v>
      </c>
    </row>
    <row r="79" spans="1:13">
      <c r="A79" t="s">
        <v>11</v>
      </c>
      <c r="B79">
        <v>519</v>
      </c>
      <c r="C79" t="s">
        <v>0</v>
      </c>
      <c r="D79">
        <v>1</v>
      </c>
      <c r="E79" s="1">
        <v>0.92738299999999996</v>
      </c>
      <c r="F79">
        <f>3230-2105</f>
        <v>1125</v>
      </c>
      <c r="G79">
        <v>-4</v>
      </c>
      <c r="H79">
        <v>123.4641</v>
      </c>
      <c r="I79">
        <v>121.4308</v>
      </c>
      <c r="L79">
        <v>1</v>
      </c>
      <c r="M79">
        <v>121.4308</v>
      </c>
    </row>
    <row r="80" spans="1:13">
      <c r="A80" t="s">
        <v>11</v>
      </c>
      <c r="B80">
        <v>519</v>
      </c>
      <c r="C80" t="s">
        <v>0</v>
      </c>
      <c r="D80">
        <v>1</v>
      </c>
      <c r="E80" s="1">
        <v>1.102743</v>
      </c>
      <c r="F80">
        <f>3032-2050</f>
        <v>982</v>
      </c>
      <c r="G80">
        <v>4</v>
      </c>
      <c r="H80">
        <v>128.9838</v>
      </c>
      <c r="I80">
        <v>121.8107</v>
      </c>
      <c r="L80">
        <v>1</v>
      </c>
      <c r="M80">
        <v>121.8107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I25" sqref="I25"/>
    </sheetView>
  </sheetViews>
  <sheetFormatPr defaultRowHeight="15"/>
  <sheetData>
    <row r="1" spans="1:9">
      <c r="A1" t="s">
        <v>10</v>
      </c>
      <c r="B1" t="s">
        <v>9</v>
      </c>
      <c r="C1" t="s">
        <v>8</v>
      </c>
      <c r="D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</row>
    <row r="2" spans="1:9">
      <c r="A2" t="s">
        <v>1</v>
      </c>
      <c r="B2">
        <v>515</v>
      </c>
      <c r="C2" t="s">
        <v>14</v>
      </c>
      <c r="D2">
        <v>2</v>
      </c>
      <c r="E2" s="1">
        <v>1.008318</v>
      </c>
      <c r="F2" s="2">
        <f>3167-2127</f>
        <v>1040</v>
      </c>
      <c r="G2" s="1">
        <f>42-48</f>
        <v>-6</v>
      </c>
      <c r="H2">
        <v>98.302199999999999</v>
      </c>
      <c r="I2">
        <v>119.4513</v>
      </c>
    </row>
    <row r="3" spans="1:9">
      <c r="A3" t="s">
        <v>1</v>
      </c>
      <c r="B3">
        <v>515</v>
      </c>
      <c r="C3" t="s">
        <v>14</v>
      </c>
      <c r="D3">
        <v>2</v>
      </c>
      <c r="E3">
        <v>0.92401100000000003</v>
      </c>
      <c r="F3">
        <f>3307-2194</f>
        <v>1113</v>
      </c>
      <c r="G3" s="4">
        <f>44-48</f>
        <v>-4</v>
      </c>
      <c r="H3">
        <v>177.20490000000001</v>
      </c>
      <c r="I3">
        <v>124.56950000000001</v>
      </c>
    </row>
    <row r="4" spans="1:9">
      <c r="A4" t="s">
        <v>1</v>
      </c>
      <c r="B4">
        <v>515</v>
      </c>
      <c r="C4" t="s">
        <v>14</v>
      </c>
      <c r="D4">
        <v>2</v>
      </c>
      <c r="E4">
        <v>0.90040500000000001</v>
      </c>
      <c r="F4">
        <f>3161-2145</f>
        <v>1016</v>
      </c>
      <c r="G4" s="4">
        <f>41-39</f>
        <v>2</v>
      </c>
      <c r="H4">
        <v>109.9115</v>
      </c>
      <c r="I4">
        <v>120.4209</v>
      </c>
    </row>
    <row r="5" spans="1:9">
      <c r="A5" t="s">
        <v>1</v>
      </c>
      <c r="B5">
        <v>515</v>
      </c>
      <c r="C5" t="s">
        <v>14</v>
      </c>
      <c r="D5">
        <v>2</v>
      </c>
      <c r="E5">
        <v>0.91052200000000005</v>
      </c>
      <c r="F5">
        <f>3228-2193</f>
        <v>1035</v>
      </c>
      <c r="G5" s="4">
        <f>44-43</f>
        <v>1</v>
      </c>
      <c r="H5">
        <v>173.9667</v>
      </c>
      <c r="I5">
        <v>124.4093</v>
      </c>
    </row>
    <row r="6" spans="1:9">
      <c r="A6" t="s">
        <v>1</v>
      </c>
      <c r="B6">
        <v>515</v>
      </c>
      <c r="C6" t="s">
        <v>14</v>
      </c>
      <c r="D6">
        <v>2</v>
      </c>
      <c r="E6" s="1">
        <v>0.97122299999999995</v>
      </c>
      <c r="F6" s="2">
        <f>3217-2166</f>
        <v>1051</v>
      </c>
      <c r="G6" s="1">
        <v>3</v>
      </c>
      <c r="H6">
        <v>172.47810000000001</v>
      </c>
      <c r="I6">
        <v>124.3347</v>
      </c>
    </row>
    <row r="7" spans="1:9">
      <c r="A7" t="s">
        <v>1</v>
      </c>
      <c r="B7">
        <v>515</v>
      </c>
      <c r="C7" t="s">
        <v>14</v>
      </c>
      <c r="D7">
        <v>2</v>
      </c>
      <c r="E7" s="1">
        <v>0.86330899999999999</v>
      </c>
      <c r="F7" s="2">
        <f>3168-2087</f>
        <v>1081</v>
      </c>
      <c r="G7" s="1">
        <v>-1</v>
      </c>
      <c r="H7">
        <v>168.7346</v>
      </c>
      <c r="I7">
        <v>124.14409999999999</v>
      </c>
    </row>
    <row r="8" spans="1:9">
      <c r="A8" t="s">
        <v>1</v>
      </c>
      <c r="B8">
        <v>515</v>
      </c>
      <c r="C8" t="s">
        <v>14</v>
      </c>
      <c r="D8">
        <v>2</v>
      </c>
      <c r="E8" s="1">
        <v>1.001754</v>
      </c>
      <c r="F8" s="2">
        <f>3159-2124</f>
        <v>1035</v>
      </c>
      <c r="G8" s="1">
        <v>4</v>
      </c>
      <c r="H8">
        <v>170.53800000000001</v>
      </c>
      <c r="I8">
        <v>124.2364</v>
      </c>
    </row>
    <row r="9" spans="1:9">
      <c r="A9" t="s">
        <v>1</v>
      </c>
      <c r="B9">
        <v>515</v>
      </c>
      <c r="C9" t="s">
        <v>14</v>
      </c>
      <c r="D9">
        <v>2</v>
      </c>
      <c r="E9" s="1">
        <v>0.930755</v>
      </c>
      <c r="F9" s="2">
        <f>3315-2369</f>
        <v>946</v>
      </c>
      <c r="G9" s="1">
        <v>3</v>
      </c>
      <c r="H9">
        <v>176.48939999999999</v>
      </c>
      <c r="I9">
        <v>124.53440000000001</v>
      </c>
    </row>
    <row r="10" spans="1:9">
      <c r="A10" t="s">
        <v>1</v>
      </c>
      <c r="B10">
        <v>515</v>
      </c>
      <c r="C10" t="s">
        <v>14</v>
      </c>
      <c r="D10">
        <v>2</v>
      </c>
      <c r="E10" s="1">
        <v>0.9375</v>
      </c>
      <c r="F10" s="2">
        <f>3245-2181</f>
        <v>1064</v>
      </c>
      <c r="G10" s="1">
        <v>3</v>
      </c>
      <c r="H10">
        <v>196.5018</v>
      </c>
      <c r="I10">
        <v>125.46729999999999</v>
      </c>
    </row>
    <row r="11" spans="1:9">
      <c r="A11" t="s">
        <v>1</v>
      </c>
      <c r="B11">
        <v>515</v>
      </c>
      <c r="C11" t="s">
        <v>14</v>
      </c>
      <c r="D11">
        <v>2</v>
      </c>
      <c r="E11" s="1">
        <v>0.83633100000000005</v>
      </c>
      <c r="F11" s="2">
        <f>3135-2114</f>
        <v>1021</v>
      </c>
      <c r="G11" s="1">
        <v>-2</v>
      </c>
      <c r="H11">
        <v>170.55850000000001</v>
      </c>
      <c r="I11">
        <v>124.2375</v>
      </c>
    </row>
    <row r="12" spans="1:9">
      <c r="A12" t="s">
        <v>1</v>
      </c>
      <c r="B12">
        <v>515</v>
      </c>
      <c r="C12" t="s">
        <v>14</v>
      </c>
      <c r="D12">
        <v>2</v>
      </c>
      <c r="E12" s="1">
        <v>1.0319240000000001</v>
      </c>
      <c r="F12" s="2">
        <f>3228-2110</f>
        <v>1118</v>
      </c>
      <c r="G12" s="1">
        <v>-2</v>
      </c>
      <c r="H12">
        <v>195.71850000000001</v>
      </c>
      <c r="I12">
        <v>125.43259999999999</v>
      </c>
    </row>
    <row r="13" spans="1:9">
      <c r="A13" t="s">
        <v>1</v>
      </c>
      <c r="B13">
        <v>515</v>
      </c>
      <c r="C13" t="s">
        <v>14</v>
      </c>
      <c r="D13">
        <v>2</v>
      </c>
      <c r="E13" s="1">
        <v>0.76214000000000004</v>
      </c>
      <c r="F13" s="2">
        <f>3168-2135</f>
        <v>1033</v>
      </c>
      <c r="G13" s="1">
        <v>0</v>
      </c>
      <c r="H13">
        <v>200.01419999999999</v>
      </c>
      <c r="I13">
        <v>125.6212</v>
      </c>
    </row>
    <row r="14" spans="1:9">
      <c r="A14" t="s">
        <v>1</v>
      </c>
      <c r="B14">
        <v>515</v>
      </c>
      <c r="C14" t="s">
        <v>14</v>
      </c>
      <c r="D14">
        <v>3</v>
      </c>
      <c r="E14" s="1">
        <v>0.89703200000000005</v>
      </c>
      <c r="F14" s="2">
        <f>3203-2119</f>
        <v>1084</v>
      </c>
      <c r="G14" s="1">
        <v>2</v>
      </c>
      <c r="H14">
        <v>194.64410000000001</v>
      </c>
      <c r="I14">
        <v>125.3848</v>
      </c>
    </row>
    <row r="15" spans="1:9">
      <c r="A15" t="s">
        <v>1</v>
      </c>
      <c r="B15">
        <v>515</v>
      </c>
      <c r="C15" t="s">
        <v>14</v>
      </c>
      <c r="D15">
        <v>3</v>
      </c>
      <c r="E15" s="1">
        <v>0.89028799999999997</v>
      </c>
      <c r="F15" s="2">
        <f>3268-2136</f>
        <v>1132</v>
      </c>
      <c r="G15" s="1">
        <v>-2</v>
      </c>
      <c r="H15">
        <v>197.3175</v>
      </c>
      <c r="I15">
        <v>125.5033</v>
      </c>
    </row>
    <row r="16" spans="1:9">
      <c r="A16" t="s">
        <v>1</v>
      </c>
      <c r="B16">
        <v>515</v>
      </c>
      <c r="C16" t="s">
        <v>14</v>
      </c>
      <c r="D16">
        <v>3</v>
      </c>
      <c r="E16" s="1">
        <v>1.0285519999999999</v>
      </c>
      <c r="F16" s="2">
        <f>3141-2107</f>
        <v>1034</v>
      </c>
      <c r="G16" s="1">
        <v>4</v>
      </c>
      <c r="H16">
        <v>193.18450000000001</v>
      </c>
      <c r="I16">
        <v>125.3194</v>
      </c>
    </row>
    <row r="17" spans="1:9">
      <c r="A17" t="s">
        <v>1</v>
      </c>
      <c r="B17">
        <v>515</v>
      </c>
      <c r="C17" t="s">
        <v>14</v>
      </c>
      <c r="D17">
        <v>3</v>
      </c>
      <c r="E17" s="1">
        <v>0.80935299999999999</v>
      </c>
      <c r="F17" s="2">
        <f>2125-1036</f>
        <v>1089</v>
      </c>
      <c r="G17" s="1">
        <v>4</v>
      </c>
      <c r="H17">
        <v>233.14869999999999</v>
      </c>
      <c r="I17">
        <v>126.95269999999999</v>
      </c>
    </row>
    <row r="18" spans="1:9">
      <c r="A18" t="s">
        <v>1</v>
      </c>
      <c r="B18">
        <v>515</v>
      </c>
      <c r="C18" t="s">
        <v>14</v>
      </c>
      <c r="D18">
        <v>3</v>
      </c>
      <c r="E18" s="1">
        <v>0.88354299999999997</v>
      </c>
      <c r="F18" s="2">
        <f>4406-3329</f>
        <v>1077</v>
      </c>
      <c r="G18" s="1">
        <v>-2</v>
      </c>
      <c r="H18">
        <v>221.40309999999999</v>
      </c>
      <c r="I18">
        <v>126.50369999999999</v>
      </c>
    </row>
    <row r="19" spans="1:9">
      <c r="A19" t="s">
        <v>1</v>
      </c>
      <c r="B19">
        <v>515</v>
      </c>
      <c r="C19" t="s">
        <v>14</v>
      </c>
      <c r="D19">
        <v>3</v>
      </c>
      <c r="E19" s="1">
        <v>1.015063</v>
      </c>
      <c r="F19" s="2">
        <f>3171-2122</f>
        <v>1049</v>
      </c>
      <c r="G19" s="1">
        <v>-3</v>
      </c>
      <c r="H19">
        <v>218.75069999999999</v>
      </c>
      <c r="I19">
        <v>126.399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C15" sqref="C15"/>
    </sheetView>
  </sheetViews>
  <sheetFormatPr defaultRowHeight="15"/>
  <sheetData>
    <row r="1" spans="1:9">
      <c r="A1" t="s">
        <v>10</v>
      </c>
      <c r="B1" t="s">
        <v>9</v>
      </c>
      <c r="C1" t="s">
        <v>8</v>
      </c>
      <c r="D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</row>
    <row r="2" spans="1:9">
      <c r="A2" t="s">
        <v>11</v>
      </c>
      <c r="B2">
        <v>514</v>
      </c>
      <c r="C2" t="s">
        <v>14</v>
      </c>
      <c r="D2">
        <v>5</v>
      </c>
      <c r="E2" s="1">
        <v>1.5109710000000001</v>
      </c>
      <c r="F2">
        <f>4395-3278</f>
        <v>1117</v>
      </c>
      <c r="G2">
        <f>23-39</f>
        <v>-16</v>
      </c>
      <c r="H2" s="3">
        <v>261.89170000000001</v>
      </c>
      <c r="I2" s="3">
        <v>127.9624</v>
      </c>
    </row>
    <row r="3" spans="1:9">
      <c r="A3" t="s">
        <v>11</v>
      </c>
      <c r="B3">
        <v>514</v>
      </c>
      <c r="C3" t="s">
        <v>14</v>
      </c>
      <c r="D3">
        <v>5</v>
      </c>
      <c r="E3" s="1">
        <v>1.0319240000000001</v>
      </c>
      <c r="F3">
        <f>3244-2142</f>
        <v>1102</v>
      </c>
      <c r="G3">
        <v>-2</v>
      </c>
      <c r="H3" s="3">
        <v>231.62129999999999</v>
      </c>
      <c r="I3" s="3">
        <v>126.8956</v>
      </c>
    </row>
    <row r="4" spans="1:9">
      <c r="A4" t="s">
        <v>11</v>
      </c>
      <c r="B4">
        <v>514</v>
      </c>
      <c r="C4" t="s">
        <v>14</v>
      </c>
      <c r="D4">
        <v>5</v>
      </c>
      <c r="E4" s="1">
        <v>1.294964</v>
      </c>
      <c r="F4">
        <f>3221-2299</f>
        <v>922</v>
      </c>
      <c r="G4">
        <v>-4</v>
      </c>
      <c r="H4" s="3">
        <v>176.31989999999999</v>
      </c>
      <c r="I4" s="3">
        <v>124.526</v>
      </c>
    </row>
    <row r="5" spans="1:9">
      <c r="A5" t="s">
        <v>11</v>
      </c>
      <c r="B5">
        <v>514</v>
      </c>
      <c r="C5" t="s">
        <v>14</v>
      </c>
      <c r="D5">
        <v>5</v>
      </c>
      <c r="E5" s="1">
        <v>0.80598000000000003</v>
      </c>
      <c r="F5">
        <f>3662-2216</f>
        <v>1446</v>
      </c>
      <c r="G5">
        <v>2</v>
      </c>
      <c r="H5" s="3">
        <v>168.1703</v>
      </c>
      <c r="I5" s="3">
        <v>124.11499999999999</v>
      </c>
    </row>
    <row r="6" spans="1:9">
      <c r="A6" t="s">
        <v>11</v>
      </c>
      <c r="B6">
        <v>514</v>
      </c>
      <c r="C6" t="s">
        <v>14</v>
      </c>
      <c r="D6">
        <v>5</v>
      </c>
      <c r="E6" s="1">
        <v>0.88354299999999997</v>
      </c>
      <c r="F6">
        <f>3240-2121</f>
        <v>1119</v>
      </c>
      <c r="G6">
        <v>-20</v>
      </c>
      <c r="H6" s="3">
        <v>165.6798</v>
      </c>
      <c r="I6" s="3">
        <v>123.9854</v>
      </c>
    </row>
    <row r="7" spans="1:9">
      <c r="A7" t="s">
        <v>11</v>
      </c>
      <c r="B7">
        <v>514</v>
      </c>
      <c r="C7" t="s">
        <v>14</v>
      </c>
      <c r="D7">
        <v>5</v>
      </c>
      <c r="E7" s="1">
        <v>1.133094</v>
      </c>
      <c r="F7">
        <f>3088-2050</f>
        <v>1038</v>
      </c>
      <c r="G7">
        <v>-2</v>
      </c>
      <c r="H7" s="3">
        <v>162.76159999999999</v>
      </c>
      <c r="I7" s="3">
        <v>123.831</v>
      </c>
    </row>
    <row r="8" spans="1:9">
      <c r="A8" t="s">
        <v>11</v>
      </c>
      <c r="B8">
        <v>514</v>
      </c>
      <c r="C8" t="s">
        <v>14</v>
      </c>
      <c r="D8">
        <v>5</v>
      </c>
      <c r="E8" s="1">
        <v>0.86330899999999999</v>
      </c>
      <c r="F8">
        <f>3502-2654</f>
        <v>848</v>
      </c>
      <c r="G8">
        <v>1</v>
      </c>
      <c r="H8" s="3">
        <v>137.21680000000001</v>
      </c>
      <c r="I8" s="3">
        <v>122.3481</v>
      </c>
    </row>
    <row r="9" spans="1:9">
      <c r="A9" t="s">
        <v>11</v>
      </c>
      <c r="B9">
        <v>514</v>
      </c>
      <c r="C9" t="s">
        <v>14</v>
      </c>
      <c r="D9">
        <v>5</v>
      </c>
      <c r="E9" s="1">
        <v>0.83970299999999998</v>
      </c>
      <c r="F9">
        <f>3410-2269</f>
        <v>1141</v>
      </c>
      <c r="G9">
        <v>0</v>
      </c>
      <c r="H9" s="3">
        <v>131.05289999999999</v>
      </c>
      <c r="I9" s="3">
        <v>121.94889999999999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E21" sqref="E21"/>
    </sheetView>
  </sheetViews>
  <sheetFormatPr defaultRowHeight="15"/>
  <sheetData>
    <row r="1" spans="1:9">
      <c r="A1" t="s">
        <v>10</v>
      </c>
      <c r="B1" t="s">
        <v>9</v>
      </c>
      <c r="C1" t="s">
        <v>8</v>
      </c>
      <c r="D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</row>
    <row r="2" spans="1:9">
      <c r="A2" t="s">
        <v>1</v>
      </c>
      <c r="B2">
        <v>518</v>
      </c>
      <c r="C2" t="s">
        <v>15</v>
      </c>
      <c r="D2">
        <v>2</v>
      </c>
      <c r="E2" s="1">
        <v>1.008318</v>
      </c>
      <c r="F2" s="2">
        <f>3078-2046</f>
        <v>1032</v>
      </c>
      <c r="G2" s="1">
        <v>-4</v>
      </c>
      <c r="H2">
        <v>105.7199</v>
      </c>
      <c r="I2">
        <v>120.0831</v>
      </c>
    </row>
    <row r="3" spans="1:9">
      <c r="A3" t="s">
        <v>1</v>
      </c>
      <c r="B3">
        <v>518</v>
      </c>
      <c r="C3" t="s">
        <v>15</v>
      </c>
      <c r="D3">
        <v>2</v>
      </c>
      <c r="E3" s="1">
        <v>1.0352969999999999</v>
      </c>
      <c r="F3" s="2">
        <f>3122-2092</f>
        <v>1030</v>
      </c>
      <c r="G3" s="1">
        <f>43-36</f>
        <v>7</v>
      </c>
      <c r="H3">
        <v>101.4181</v>
      </c>
      <c r="I3">
        <v>119.7223</v>
      </c>
    </row>
    <row r="4" spans="1:9">
      <c r="A4" t="s">
        <v>1</v>
      </c>
      <c r="B4">
        <v>518</v>
      </c>
      <c r="C4" t="s">
        <v>15</v>
      </c>
      <c r="D4">
        <v>2</v>
      </c>
      <c r="E4" s="1">
        <v>0.95773399999999997</v>
      </c>
      <c r="F4" s="2">
        <f>3154-2106</f>
        <v>1048</v>
      </c>
      <c r="G4" s="1">
        <v>5</v>
      </c>
      <c r="H4">
        <v>115.43559999999999</v>
      </c>
      <c r="I4">
        <v>120.8468</v>
      </c>
    </row>
    <row r="5" spans="1:9">
      <c r="A5" t="s">
        <v>1</v>
      </c>
      <c r="B5">
        <v>518</v>
      </c>
      <c r="C5" t="s">
        <v>15</v>
      </c>
      <c r="D5">
        <v>2</v>
      </c>
      <c r="E5" s="1">
        <v>1.31857</v>
      </c>
      <c r="F5" s="2">
        <f xml:space="preserve"> 3226-2038</f>
        <v>1188</v>
      </c>
      <c r="G5" s="1">
        <v>-3</v>
      </c>
      <c r="H5">
        <v>97.4221</v>
      </c>
      <c r="I5">
        <v>119.3732</v>
      </c>
    </row>
    <row r="6" spans="1:9">
      <c r="A6" t="s">
        <v>1</v>
      </c>
      <c r="B6">
        <v>518</v>
      </c>
      <c r="C6" t="s">
        <v>15</v>
      </c>
      <c r="D6">
        <v>2</v>
      </c>
      <c r="E6" s="1">
        <v>0.90040500000000001</v>
      </c>
      <c r="F6" s="2">
        <f>3190-2086</f>
        <v>1104</v>
      </c>
      <c r="G6" s="1">
        <v>-3</v>
      </c>
      <c r="H6">
        <v>94.781700000000001</v>
      </c>
      <c r="I6">
        <v>119.1345</v>
      </c>
    </row>
    <row r="7" spans="1:9">
      <c r="A7" t="s">
        <v>1</v>
      </c>
      <c r="B7">
        <v>518</v>
      </c>
      <c r="C7" t="s">
        <v>15</v>
      </c>
      <c r="D7">
        <v>2</v>
      </c>
      <c r="E7" s="1">
        <v>1.352293</v>
      </c>
      <c r="F7" s="2">
        <f>3177-2221</f>
        <v>956</v>
      </c>
      <c r="G7" s="1">
        <v>-2</v>
      </c>
      <c r="H7">
        <v>89.328599999999994</v>
      </c>
      <c r="I7">
        <v>118.6198</v>
      </c>
    </row>
    <row r="8" spans="1:9">
      <c r="A8" t="s">
        <v>1</v>
      </c>
      <c r="B8">
        <v>518</v>
      </c>
      <c r="C8" t="s">
        <v>15</v>
      </c>
      <c r="D8">
        <v>2</v>
      </c>
      <c r="E8" s="1">
        <v>1.065647</v>
      </c>
      <c r="F8" s="2">
        <f>3194-2035</f>
        <v>1159</v>
      </c>
      <c r="G8" s="1">
        <v>-8</v>
      </c>
      <c r="H8">
        <v>111.05410000000001</v>
      </c>
      <c r="I8">
        <v>120.5107</v>
      </c>
    </row>
    <row r="9" spans="1:9">
      <c r="A9" t="s">
        <v>1</v>
      </c>
      <c r="B9">
        <v>518</v>
      </c>
      <c r="C9" t="s">
        <v>15</v>
      </c>
      <c r="D9">
        <v>2</v>
      </c>
      <c r="E9" s="1">
        <v>0.96785100000000002</v>
      </c>
      <c r="F9" s="2">
        <f>3151-2100</f>
        <v>1051</v>
      </c>
      <c r="G9" s="1">
        <v>1</v>
      </c>
      <c r="H9">
        <v>84.753</v>
      </c>
      <c r="I9">
        <v>118.1631</v>
      </c>
    </row>
    <row r="10" spans="1:9">
      <c r="A10" t="s">
        <v>1</v>
      </c>
      <c r="B10">
        <v>518</v>
      </c>
      <c r="C10" t="s">
        <v>15</v>
      </c>
      <c r="D10">
        <v>2</v>
      </c>
      <c r="E10" s="1">
        <v>1.3792720000000001</v>
      </c>
      <c r="F10" s="2">
        <f>3117-2062</f>
        <v>1055</v>
      </c>
      <c r="G10" s="2">
        <f>33-41</f>
        <v>-8</v>
      </c>
      <c r="H10">
        <v>100.6185</v>
      </c>
      <c r="I10">
        <v>119.6536</v>
      </c>
    </row>
    <row r="11" spans="1:9">
      <c r="A11" t="s">
        <v>1</v>
      </c>
      <c r="B11">
        <v>518</v>
      </c>
      <c r="C11" t="s">
        <v>15</v>
      </c>
      <c r="D11">
        <v>2</v>
      </c>
      <c r="E11" s="1">
        <v>0.85319199999999995</v>
      </c>
      <c r="F11" s="2">
        <f>3116-1999</f>
        <v>1117</v>
      </c>
      <c r="G11" s="1">
        <v>-2</v>
      </c>
      <c r="H11">
        <v>92.2423</v>
      </c>
      <c r="I11">
        <v>118.8986</v>
      </c>
    </row>
    <row r="12" spans="1:9">
      <c r="A12" t="s">
        <v>1</v>
      </c>
      <c r="B12">
        <v>518</v>
      </c>
      <c r="C12" t="s">
        <v>15</v>
      </c>
      <c r="D12">
        <v>2</v>
      </c>
      <c r="E12" s="1">
        <v>0.95098899999999997</v>
      </c>
      <c r="F12" s="2">
        <f>3145-2125</f>
        <v>1020</v>
      </c>
      <c r="G12" s="1">
        <v>0</v>
      </c>
      <c r="H12">
        <v>181.2133</v>
      </c>
      <c r="I12">
        <v>124.7638</v>
      </c>
    </row>
    <row r="13" spans="1:9">
      <c r="A13" t="s">
        <v>1</v>
      </c>
      <c r="B13">
        <v>518</v>
      </c>
      <c r="C13" t="s">
        <v>15</v>
      </c>
      <c r="D13">
        <v>2</v>
      </c>
      <c r="E13" s="1">
        <v>1.133094</v>
      </c>
      <c r="F13" s="2">
        <f>3149-2186</f>
        <v>963</v>
      </c>
      <c r="G13" s="1">
        <v>-4</v>
      </c>
      <c r="H13">
        <v>152.04060000000001</v>
      </c>
      <c r="I13">
        <v>123.2392</v>
      </c>
    </row>
    <row r="14" spans="1:9">
      <c r="A14" t="s">
        <v>1</v>
      </c>
      <c r="B14">
        <v>518</v>
      </c>
      <c r="C14" t="s">
        <v>15</v>
      </c>
      <c r="D14">
        <v>2</v>
      </c>
      <c r="E14" s="1">
        <v>1.0116909999999999</v>
      </c>
      <c r="F14" s="2">
        <f>3227-2141</f>
        <v>1086</v>
      </c>
      <c r="G14" s="1">
        <f>27-33</f>
        <v>-6</v>
      </c>
      <c r="H14">
        <v>177.90950000000001</v>
      </c>
      <c r="I14">
        <v>124.604</v>
      </c>
    </row>
    <row r="15" spans="1:9">
      <c r="A15" t="s">
        <v>1</v>
      </c>
      <c r="B15">
        <v>518</v>
      </c>
      <c r="C15" t="s">
        <v>15</v>
      </c>
      <c r="D15">
        <v>2</v>
      </c>
      <c r="E15" s="1">
        <v>0.86668199999999995</v>
      </c>
      <c r="F15" s="2">
        <f>3150-2106</f>
        <v>1044</v>
      </c>
      <c r="G15" s="1">
        <v>-6</v>
      </c>
      <c r="H15">
        <v>140.34059999999999</v>
      </c>
      <c r="I15">
        <v>122.5437</v>
      </c>
    </row>
    <row r="16" spans="1:9">
      <c r="A16" t="s">
        <v>1</v>
      </c>
      <c r="B16">
        <v>518</v>
      </c>
      <c r="C16" t="s">
        <v>15</v>
      </c>
      <c r="D16">
        <v>2</v>
      </c>
      <c r="E16" s="1">
        <v>0.75539599999999996</v>
      </c>
      <c r="F16" s="2">
        <f>3217-2131</f>
        <v>1086</v>
      </c>
      <c r="G16" s="1">
        <v>-5</v>
      </c>
      <c r="H16">
        <v>308.23309999999998</v>
      </c>
      <c r="I16">
        <v>129.3776</v>
      </c>
    </row>
    <row r="17" spans="1:9">
      <c r="A17" t="s">
        <v>1</v>
      </c>
      <c r="B17">
        <v>518</v>
      </c>
      <c r="C17" t="s">
        <v>15</v>
      </c>
      <c r="D17">
        <v>2</v>
      </c>
      <c r="E17" s="1">
        <v>1.207284</v>
      </c>
      <c r="F17" s="2">
        <f>3664-2452</f>
        <v>1212</v>
      </c>
      <c r="G17" s="1">
        <v>1</v>
      </c>
      <c r="H17">
        <v>135.5496</v>
      </c>
      <c r="I17">
        <v>122.242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Absent Traveling</vt:lpstr>
      <vt:lpstr>Present Traveling</vt:lpstr>
      <vt:lpstr>Absent Foraging</vt:lpstr>
      <vt:lpstr>Present Foraging</vt:lpstr>
      <vt:lpstr>Absent Playing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dcterms:created xsi:type="dcterms:W3CDTF">2009-06-04T22:15:57Z</dcterms:created>
  <dcterms:modified xsi:type="dcterms:W3CDTF">2009-06-04T22:19:28Z</dcterms:modified>
</cp:coreProperties>
</file>