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20" windowWidth="18855" windowHeight="8145" activeTab="2"/>
  </bookViews>
  <sheets>
    <sheet name="All" sheetId="7" r:id="rId1"/>
    <sheet name="Graphs" sheetId="11" r:id="rId2"/>
    <sheet name="Stats Results" sheetId="8" r:id="rId3"/>
  </sheets>
  <calcPr calcId="125725"/>
</workbook>
</file>

<file path=xl/calcChain.xml><?xml version="1.0" encoding="utf-8"?>
<calcChain xmlns="http://schemas.openxmlformats.org/spreadsheetml/2006/main">
  <c r="P3" i="7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2"/>
  <c r="U135" i="11"/>
  <c r="U132"/>
  <c r="U129"/>
  <c r="U115"/>
  <c r="U114"/>
  <c r="U99"/>
  <c r="U92"/>
  <c r="U91"/>
  <c r="U88"/>
  <c r="U82"/>
  <c r="U80"/>
  <c r="U64"/>
  <c r="U52"/>
  <c r="U48"/>
  <c r="U41"/>
  <c r="U25"/>
  <c r="U24"/>
  <c r="U23"/>
  <c r="U22"/>
  <c r="U19"/>
  <c r="U13"/>
  <c r="U7"/>
  <c r="U6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J4"/>
  <c r="J5" s="1"/>
  <c r="J3"/>
  <c r="I4"/>
  <c r="I3"/>
  <c r="I5"/>
  <c r="F55" i="7"/>
  <c r="F54"/>
  <c r="F53"/>
  <c r="G52"/>
  <c r="F52"/>
  <c r="F51"/>
  <c r="F50"/>
  <c r="F49"/>
  <c r="G48"/>
  <c r="F48"/>
  <c r="F47"/>
  <c r="F46"/>
  <c r="F45"/>
  <c r="F44"/>
  <c r="F43"/>
  <c r="F42"/>
  <c r="G41"/>
  <c r="F41"/>
  <c r="F40"/>
  <c r="F142"/>
  <c r="F141"/>
  <c r="F140"/>
  <c r="F139"/>
  <c r="F138"/>
  <c r="F137"/>
  <c r="F136"/>
  <c r="G135"/>
  <c r="F135"/>
  <c r="F39"/>
  <c r="F38"/>
  <c r="F37"/>
  <c r="F36"/>
  <c r="F35"/>
  <c r="F34"/>
  <c r="F33"/>
  <c r="F32"/>
  <c r="F31"/>
  <c r="F30"/>
  <c r="F29"/>
  <c r="F28"/>
  <c r="F27"/>
  <c r="F26"/>
  <c r="G25"/>
  <c r="F25"/>
  <c r="G24"/>
  <c r="F24"/>
  <c r="G23"/>
  <c r="F23"/>
  <c r="G22"/>
  <c r="F22"/>
  <c r="F134"/>
  <c r="F133"/>
  <c r="G132"/>
  <c r="F132"/>
  <c r="F131"/>
  <c r="F130"/>
  <c r="G129"/>
  <c r="F129"/>
  <c r="F128"/>
  <c r="F127"/>
  <c r="F126"/>
  <c r="F125"/>
  <c r="F124"/>
  <c r="F123"/>
  <c r="F122"/>
  <c r="F121"/>
  <c r="F120"/>
  <c r="F119"/>
  <c r="F118"/>
  <c r="F117"/>
  <c r="F116"/>
  <c r="G115"/>
  <c r="F115"/>
  <c r="G114"/>
  <c r="F114"/>
  <c r="F113"/>
  <c r="F112"/>
  <c r="F111"/>
  <c r="F110"/>
  <c r="F109"/>
  <c r="F108"/>
  <c r="F107"/>
  <c r="F106"/>
  <c r="F105"/>
  <c r="F104"/>
  <c r="F103"/>
  <c r="F102"/>
  <c r="F101"/>
  <c r="F100"/>
  <c r="G99"/>
  <c r="F99"/>
  <c r="F98"/>
  <c r="F97"/>
  <c r="F96"/>
  <c r="F95"/>
  <c r="F94"/>
  <c r="F93"/>
  <c r="G92"/>
  <c r="F92"/>
  <c r="G91"/>
  <c r="F91"/>
  <c r="F90"/>
  <c r="F89"/>
  <c r="G88"/>
  <c r="F88"/>
  <c r="F87"/>
  <c r="F86"/>
  <c r="F85"/>
  <c r="F84"/>
  <c r="F83"/>
  <c r="G82"/>
  <c r="F82"/>
  <c r="F81"/>
  <c r="G80"/>
  <c r="F80"/>
  <c r="F79"/>
  <c r="F78"/>
  <c r="F77"/>
  <c r="F76"/>
  <c r="F75"/>
  <c r="F74"/>
  <c r="F73"/>
  <c r="F72"/>
  <c r="F71"/>
  <c r="F70"/>
  <c r="F69"/>
  <c r="F68"/>
  <c r="F67"/>
  <c r="F66"/>
  <c r="F65"/>
  <c r="G64"/>
  <c r="F64"/>
  <c r="F63"/>
  <c r="F62"/>
  <c r="F61"/>
  <c r="F60"/>
  <c r="F59"/>
  <c r="F58"/>
  <c r="F57"/>
  <c r="F56"/>
  <c r="F21"/>
  <c r="F20"/>
  <c r="G19"/>
  <c r="F19"/>
  <c r="F18"/>
  <c r="F17"/>
  <c r="F16"/>
  <c r="F15"/>
  <c r="F14"/>
  <c r="G13"/>
  <c r="F13"/>
  <c r="F12"/>
  <c r="F11"/>
  <c r="F10"/>
  <c r="F9"/>
  <c r="F8"/>
  <c r="G7"/>
  <c r="F7"/>
  <c r="G6"/>
  <c r="F6"/>
  <c r="F5"/>
  <c r="F4"/>
  <c r="F3"/>
  <c r="F2"/>
</calcChain>
</file>

<file path=xl/sharedStrings.xml><?xml version="1.0" encoding="utf-8"?>
<sst xmlns="http://schemas.openxmlformats.org/spreadsheetml/2006/main" count="645" uniqueCount="70">
  <si>
    <t>Date</t>
  </si>
  <si>
    <t>Traveling</t>
  </si>
  <si>
    <t>Foraging</t>
  </si>
  <si>
    <t>Playing</t>
  </si>
  <si>
    <t>Total</t>
  </si>
  <si>
    <t>Duration</t>
  </si>
  <si>
    <t>Fundamental</t>
  </si>
  <si>
    <t xml:space="preserve">Power Ratio </t>
  </si>
  <si>
    <t>RMS</t>
  </si>
  <si>
    <t>dB re 1 micro Pa</t>
  </si>
  <si>
    <t>Behavior</t>
  </si>
  <si>
    <t>Vessel #</t>
  </si>
  <si>
    <t>A/P</t>
  </si>
  <si>
    <t>A</t>
  </si>
  <si>
    <t>P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</si>
  <si>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</si>
  <si>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</si>
  <si>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</si>
  <si>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</si>
  <si>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</si>
  <si>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</si>
  <si>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</si>
  <si>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</si>
  <si>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</si>
  <si>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</si>
  <si>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</si>
  <si>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</si>
  <si>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</si>
  <si>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</si>
  <si>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</si>
  <si>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</si>
  <si>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Anova: Single Factor Behavior/Duration</t>
  </si>
  <si>
    <t>Anova: Single Factor Fundamental Frequency Behavior</t>
  </si>
  <si>
    <t>Anova: Single Factor Power Ratio Behavior</t>
  </si>
  <si>
    <t xml:space="preserve">Absent </t>
  </si>
  <si>
    <t>Present</t>
  </si>
  <si>
    <t>Anova: Single Factor Duration A/P</t>
  </si>
  <si>
    <t>Anova: Single Factor Fundamental Frequency A/P</t>
  </si>
  <si>
    <t>Anova: Single Factor Power Ratio A/P</t>
  </si>
  <si>
    <t>Anova: Single Factor Background Noise A/P</t>
  </si>
  <si>
    <t>Regression Statistics</t>
  </si>
  <si>
    <t>Multiple R</t>
  </si>
  <si>
    <t>R Square</t>
  </si>
  <si>
    <t>Adjusted R Square</t>
  </si>
  <si>
    <t>Standard Error</t>
  </si>
  <si>
    <t>Observations</t>
  </si>
  <si>
    <t>Regression</t>
  </si>
  <si>
    <t>Residual</t>
  </si>
  <si>
    <t>Intercept</t>
  </si>
  <si>
    <t>Significance F</t>
  </si>
  <si>
    <t>Coefficients</t>
  </si>
  <si>
    <t>t Stat</t>
  </si>
  <si>
    <t>Lower 95%</t>
  </si>
  <si>
    <t>Upper 95%</t>
  </si>
  <si>
    <t>Lower 95.0%</t>
  </si>
  <si>
    <t>Upper 95.0%</t>
  </si>
  <si>
    <t>SUMMARY OUTPUT Background Noise vs. Vessel Count</t>
  </si>
  <si>
    <t>SUMMARY OUTPUT: Duration Background Noise</t>
  </si>
  <si>
    <t>SUMMARY OUTPUT: Fundamental Frequency Background Noise</t>
  </si>
  <si>
    <t>SUMMARY OUTPUT: Power Ratio Background Noise</t>
  </si>
  <si>
    <t>SUMMARY OUTPUT:Vessel Count Duration</t>
  </si>
  <si>
    <t>SUMMARY OUTPUT: Vessel Count Fundamental Frequency</t>
  </si>
  <si>
    <t>SUMMARY OUTPUT: Vessel Count Ratio</t>
  </si>
  <si>
    <t>Absence</t>
  </si>
  <si>
    <t>Presence</t>
  </si>
  <si>
    <t>background</t>
  </si>
  <si>
    <t>duration</t>
  </si>
  <si>
    <t>Log vessel count</t>
  </si>
  <si>
    <t>X Variable 1</t>
  </si>
  <si>
    <t>SUMMARY OUTPUT Log vessel count with background noise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</si>
</sst>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0" fontId="0" fillId="0" borderId="0" xfId="0" applyFill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9" xfId="0" applyFill="1" applyBorder="1" applyAlignment="1"/>
    <xf numFmtId="0" fontId="1" fillId="0" borderId="10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1" fillId="0" borderId="2" xfId="0" applyFont="1" applyFill="1" applyBorder="1" applyAlignment="1">
      <alignment horizontal="centerContinuous"/>
    </xf>
    <xf numFmtId="0" fontId="1" fillId="0" borderId="8" xfId="0" applyFont="1" applyFill="1" applyBorder="1" applyAlignment="1">
      <alignment horizontal="centerContinuous"/>
    </xf>
    <xf numFmtId="2" fontId="0" fillId="0" borderId="0" xfId="0" applyNumberFormat="1" applyFill="1" applyBorder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Background Noise vs. Ship Absence/Presence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Graphs!$I$5:$J$5</c:f>
                <c:numCache>
                  <c:formatCode>General</c:formatCode>
                  <c:ptCount val="2"/>
                  <c:pt idx="0">
                    <c:v>0.75156901081414229</c:v>
                  </c:pt>
                  <c:pt idx="1">
                    <c:v>0.51645373725421684</c:v>
                  </c:pt>
                </c:numCache>
              </c:numRef>
            </c:plus>
            <c:minus>
              <c:numRef>
                <c:f>Graphs!$I$5:$J$5</c:f>
                <c:numCache>
                  <c:formatCode>General</c:formatCode>
                  <c:ptCount val="2"/>
                  <c:pt idx="0">
                    <c:v>0.75156901081414229</c:v>
                  </c:pt>
                  <c:pt idx="1">
                    <c:v>0.51645373725421684</c:v>
                  </c:pt>
                </c:numCache>
              </c:numRef>
            </c:minus>
          </c:errBars>
          <c:cat>
            <c:strRef>
              <c:f>Graphs!$I$2:$J$2</c:f>
              <c:strCache>
                <c:ptCount val="2"/>
                <c:pt idx="0">
                  <c:v>Absence</c:v>
                </c:pt>
                <c:pt idx="1">
                  <c:v>Presence</c:v>
                </c:pt>
              </c:strCache>
            </c:strRef>
          </c:cat>
          <c:val>
            <c:numRef>
              <c:f>Graphs!$I$3:$J$3</c:f>
              <c:numCache>
                <c:formatCode>0.00</c:formatCode>
                <c:ptCount val="2"/>
                <c:pt idx="0" formatCode="General">
                  <c:v>123.92842222222225</c:v>
                </c:pt>
                <c:pt idx="1">
                  <c:v>125.07341839080459</c:v>
                </c:pt>
              </c:numCache>
            </c:numRef>
          </c:val>
        </c:ser>
        <c:axId val="101589760"/>
        <c:axId val="101591680"/>
      </c:barChart>
      <c:catAx>
        <c:axId val="101589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Ship Absence/Presence</a:t>
                </a:r>
              </a:p>
            </c:rich>
          </c:tx>
          <c:layout/>
        </c:title>
        <c:majorTickMark val="none"/>
        <c:tickLblPos val="nextTo"/>
        <c:crossAx val="101591680"/>
        <c:crosses val="autoZero"/>
        <c:auto val="1"/>
        <c:lblAlgn val="ctr"/>
        <c:lblOffset val="100"/>
      </c:catAx>
      <c:valAx>
        <c:axId val="101591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Background Noise (dB re 1 microPa)</a:t>
                </a:r>
              </a:p>
            </c:rich>
          </c:tx>
          <c:layout/>
        </c:title>
        <c:numFmt formatCode="General" sourceLinked="1"/>
        <c:tickLblPos val="nextTo"/>
        <c:crossAx val="10158976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Call Duration vs. Background Noise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7150262467191607E-2"/>
                  <c:y val="0.2124445902595509"/>
                </c:manualLayout>
              </c:layout>
              <c:numFmt formatCode="General" sourceLinked="0"/>
            </c:trendlineLbl>
          </c:trendline>
          <c:xVal>
            <c:numRef>
              <c:f>Graphs!$P$2:$P$142</c:f>
              <c:numCache>
                <c:formatCode>General</c:formatCode>
                <c:ptCount val="141"/>
                <c:pt idx="0">
                  <c:v>122.7002</c:v>
                </c:pt>
                <c:pt idx="1">
                  <c:v>125.5823</c:v>
                </c:pt>
                <c:pt idx="2">
                  <c:v>126.9569</c:v>
                </c:pt>
                <c:pt idx="3">
                  <c:v>127.4041</c:v>
                </c:pt>
                <c:pt idx="4">
                  <c:v>126.30629999999999</c:v>
                </c:pt>
                <c:pt idx="5">
                  <c:v>128.29949999999999</c:v>
                </c:pt>
                <c:pt idx="6">
                  <c:v>125.61060000000001</c:v>
                </c:pt>
                <c:pt idx="7">
                  <c:v>126.1934</c:v>
                </c:pt>
                <c:pt idx="8">
                  <c:v>126.4278</c:v>
                </c:pt>
                <c:pt idx="9">
                  <c:v>128.21360000000001</c:v>
                </c:pt>
                <c:pt idx="10">
                  <c:v>127.9479</c:v>
                </c:pt>
                <c:pt idx="11">
                  <c:v>124.1948</c:v>
                </c:pt>
                <c:pt idx="12">
                  <c:v>124.9161</c:v>
                </c:pt>
                <c:pt idx="13">
                  <c:v>125.164</c:v>
                </c:pt>
                <c:pt idx="14">
                  <c:v>123.9641</c:v>
                </c:pt>
                <c:pt idx="15">
                  <c:v>124.19970000000001</c:v>
                </c:pt>
                <c:pt idx="16">
                  <c:v>121.34910000000001</c:v>
                </c:pt>
                <c:pt idx="17">
                  <c:v>125.6327</c:v>
                </c:pt>
                <c:pt idx="18">
                  <c:v>122.7347</c:v>
                </c:pt>
                <c:pt idx="19">
                  <c:v>123.63890000000001</c:v>
                </c:pt>
                <c:pt idx="20">
                  <c:v>119.4513</c:v>
                </c:pt>
                <c:pt idx="21">
                  <c:v>124.56950000000001</c:v>
                </c:pt>
                <c:pt idx="22">
                  <c:v>120.4209</c:v>
                </c:pt>
                <c:pt idx="23">
                  <c:v>124.4093</c:v>
                </c:pt>
                <c:pt idx="24">
                  <c:v>124.3347</c:v>
                </c:pt>
                <c:pt idx="25">
                  <c:v>124.14409999999999</c:v>
                </c:pt>
                <c:pt idx="26">
                  <c:v>124.2364</c:v>
                </c:pt>
                <c:pt idx="27">
                  <c:v>124.53440000000001</c:v>
                </c:pt>
                <c:pt idx="28">
                  <c:v>125.46729999999999</c:v>
                </c:pt>
                <c:pt idx="29">
                  <c:v>124.2375</c:v>
                </c:pt>
                <c:pt idx="30">
                  <c:v>125.43259999999999</c:v>
                </c:pt>
                <c:pt idx="31">
                  <c:v>125.6212</c:v>
                </c:pt>
                <c:pt idx="32">
                  <c:v>125.3848</c:v>
                </c:pt>
                <c:pt idx="33">
                  <c:v>125.5033</c:v>
                </c:pt>
                <c:pt idx="34">
                  <c:v>125.3194</c:v>
                </c:pt>
                <c:pt idx="35">
                  <c:v>126.95269999999999</c:v>
                </c:pt>
                <c:pt idx="36">
                  <c:v>126.50369999999999</c:v>
                </c:pt>
                <c:pt idx="37">
                  <c:v>126.399</c:v>
                </c:pt>
                <c:pt idx="38">
                  <c:v>120.0831</c:v>
                </c:pt>
                <c:pt idx="39">
                  <c:v>119.7223</c:v>
                </c:pt>
                <c:pt idx="40">
                  <c:v>120.8468</c:v>
                </c:pt>
                <c:pt idx="41">
                  <c:v>119.3732</c:v>
                </c:pt>
                <c:pt idx="42">
                  <c:v>119.1345</c:v>
                </c:pt>
                <c:pt idx="43">
                  <c:v>118.6198</c:v>
                </c:pt>
                <c:pt idx="44">
                  <c:v>120.5107</c:v>
                </c:pt>
                <c:pt idx="45">
                  <c:v>118.1631</c:v>
                </c:pt>
                <c:pt idx="46">
                  <c:v>119.6536</c:v>
                </c:pt>
                <c:pt idx="47">
                  <c:v>118.8986</c:v>
                </c:pt>
                <c:pt idx="48">
                  <c:v>124.7638</c:v>
                </c:pt>
                <c:pt idx="49">
                  <c:v>123.2392</c:v>
                </c:pt>
                <c:pt idx="50">
                  <c:v>124.604</c:v>
                </c:pt>
                <c:pt idx="51">
                  <c:v>122.5437</c:v>
                </c:pt>
                <c:pt idx="52">
                  <c:v>129.3776</c:v>
                </c:pt>
                <c:pt idx="53">
                  <c:v>122.242</c:v>
                </c:pt>
                <c:pt idx="54" formatCode="0.00">
                  <c:v>130.86519999999999</c:v>
                </c:pt>
                <c:pt idx="55" formatCode="0.00">
                  <c:v>121.0628</c:v>
                </c:pt>
                <c:pt idx="56" formatCode="0.00">
                  <c:v>120.6767</c:v>
                </c:pt>
                <c:pt idx="57" formatCode="0.00">
                  <c:v>120.0543</c:v>
                </c:pt>
                <c:pt idx="58" formatCode="0.00">
                  <c:v>120.1511</c:v>
                </c:pt>
                <c:pt idx="59" formatCode="0.00">
                  <c:v>130.71860000000001</c:v>
                </c:pt>
                <c:pt idx="60" formatCode="0.00">
                  <c:v>131.0026</c:v>
                </c:pt>
                <c:pt idx="61" formatCode="0.00">
                  <c:v>129.2636</c:v>
                </c:pt>
                <c:pt idx="62" formatCode="0.00">
                  <c:v>130.0874</c:v>
                </c:pt>
                <c:pt idx="63" formatCode="0.00">
                  <c:v>125.69</c:v>
                </c:pt>
                <c:pt idx="64" formatCode="0.00">
                  <c:v>125.7621</c:v>
                </c:pt>
                <c:pt idx="65" formatCode="0.00">
                  <c:v>126.2564</c:v>
                </c:pt>
                <c:pt idx="66" formatCode="0.00">
                  <c:v>127.0142</c:v>
                </c:pt>
                <c:pt idx="67" formatCode="0.00">
                  <c:v>128.0283</c:v>
                </c:pt>
                <c:pt idx="68" formatCode="0.00">
                  <c:v>122.8601</c:v>
                </c:pt>
                <c:pt idx="69" formatCode="0.00">
                  <c:v>124.1587</c:v>
                </c:pt>
                <c:pt idx="70" formatCode="0.00">
                  <c:v>125.72499999999999</c:v>
                </c:pt>
                <c:pt idx="71" formatCode="0.00">
                  <c:v>123.25700000000001</c:v>
                </c:pt>
                <c:pt idx="72" formatCode="0.00">
                  <c:v>127.4619</c:v>
                </c:pt>
                <c:pt idx="73" formatCode="0.00">
                  <c:v>127.48139999999999</c:v>
                </c:pt>
                <c:pt idx="74" formatCode="0.00">
                  <c:v>127.37130000000001</c:v>
                </c:pt>
                <c:pt idx="75" formatCode="0.00">
                  <c:v>127.78149999999999</c:v>
                </c:pt>
                <c:pt idx="76" formatCode="0.00">
                  <c:v>127.10129999999999</c:v>
                </c:pt>
                <c:pt idx="77" formatCode="0.00">
                  <c:v>128.71019999999999</c:v>
                </c:pt>
                <c:pt idx="78" formatCode="0.00">
                  <c:v>128.72919999999999</c:v>
                </c:pt>
                <c:pt idx="79">
                  <c:v>124.00409999999999</c:v>
                </c:pt>
                <c:pt idx="80">
                  <c:v>124.10039999999999</c:v>
                </c:pt>
                <c:pt idx="81">
                  <c:v>124.1996</c:v>
                </c:pt>
                <c:pt idx="82">
                  <c:v>125.17919999999999</c:v>
                </c:pt>
                <c:pt idx="83">
                  <c:v>123.8027</c:v>
                </c:pt>
                <c:pt idx="84">
                  <c:v>125.5234</c:v>
                </c:pt>
                <c:pt idx="85">
                  <c:v>125.38160000000001</c:v>
                </c:pt>
                <c:pt idx="86">
                  <c:v>127.4442</c:v>
                </c:pt>
                <c:pt idx="87">
                  <c:v>127.27200000000001</c:v>
                </c:pt>
                <c:pt idx="88">
                  <c:v>127.6144</c:v>
                </c:pt>
                <c:pt idx="89">
                  <c:v>128.0017</c:v>
                </c:pt>
                <c:pt idx="90">
                  <c:v>125.1942</c:v>
                </c:pt>
                <c:pt idx="91">
                  <c:v>124.5265</c:v>
                </c:pt>
                <c:pt idx="92">
                  <c:v>122.4451</c:v>
                </c:pt>
                <c:pt idx="93">
                  <c:v>121.125</c:v>
                </c:pt>
                <c:pt idx="94">
                  <c:v>122.6657</c:v>
                </c:pt>
                <c:pt idx="95">
                  <c:v>122.20869999999999</c:v>
                </c:pt>
                <c:pt idx="96">
                  <c:v>123.1215</c:v>
                </c:pt>
                <c:pt idx="97">
                  <c:v>123.87649999999999</c:v>
                </c:pt>
                <c:pt idx="98">
                  <c:v>125.6032</c:v>
                </c:pt>
                <c:pt idx="99">
                  <c:v>123.84480000000001</c:v>
                </c:pt>
                <c:pt idx="100">
                  <c:v>126.24760000000001</c:v>
                </c:pt>
                <c:pt idx="101">
                  <c:v>122.9328</c:v>
                </c:pt>
                <c:pt idx="102">
                  <c:v>122.569</c:v>
                </c:pt>
                <c:pt idx="103">
                  <c:v>122.8212</c:v>
                </c:pt>
                <c:pt idx="104">
                  <c:v>124.07859999999999</c:v>
                </c:pt>
                <c:pt idx="105">
                  <c:v>125.1718</c:v>
                </c:pt>
                <c:pt idx="106">
                  <c:v>125.27370000000001</c:v>
                </c:pt>
                <c:pt idx="107">
                  <c:v>125.167</c:v>
                </c:pt>
                <c:pt idx="108">
                  <c:v>127.3792</c:v>
                </c:pt>
                <c:pt idx="109">
                  <c:v>125.9679</c:v>
                </c:pt>
                <c:pt idx="110">
                  <c:v>125.624</c:v>
                </c:pt>
                <c:pt idx="111">
                  <c:v>126.28270000000001</c:v>
                </c:pt>
                <c:pt idx="112">
                  <c:v>126.1473</c:v>
                </c:pt>
                <c:pt idx="113">
                  <c:v>124.8647</c:v>
                </c:pt>
                <c:pt idx="114">
                  <c:v>125.88420000000001</c:v>
                </c:pt>
                <c:pt idx="115">
                  <c:v>126.185</c:v>
                </c:pt>
                <c:pt idx="116">
                  <c:v>126.38120000000001</c:v>
                </c:pt>
                <c:pt idx="117">
                  <c:v>126.1164</c:v>
                </c:pt>
                <c:pt idx="118">
                  <c:v>121.5986</c:v>
                </c:pt>
                <c:pt idx="119">
                  <c:v>122.2221</c:v>
                </c:pt>
                <c:pt idx="120">
                  <c:v>125.42449999999999</c:v>
                </c:pt>
                <c:pt idx="121">
                  <c:v>124.3117</c:v>
                </c:pt>
                <c:pt idx="122">
                  <c:v>123.78230000000001</c:v>
                </c:pt>
                <c:pt idx="123">
                  <c:v>122.5763</c:v>
                </c:pt>
                <c:pt idx="124">
                  <c:v>125.99630000000001</c:v>
                </c:pt>
                <c:pt idx="125">
                  <c:v>124.5711</c:v>
                </c:pt>
                <c:pt idx="126">
                  <c:v>125.2975</c:v>
                </c:pt>
                <c:pt idx="127">
                  <c:v>125.95820000000001</c:v>
                </c:pt>
                <c:pt idx="128">
                  <c:v>124.60339999999999</c:v>
                </c:pt>
                <c:pt idx="129">
                  <c:v>125.84350000000001</c:v>
                </c:pt>
                <c:pt idx="130">
                  <c:v>120.84829999999999</c:v>
                </c:pt>
                <c:pt idx="131">
                  <c:v>121.4308</c:v>
                </c:pt>
                <c:pt idx="132">
                  <c:v>121.8107</c:v>
                </c:pt>
                <c:pt idx="133" formatCode="0.00">
                  <c:v>127.9624</c:v>
                </c:pt>
                <c:pt idx="134" formatCode="0.00">
                  <c:v>126.8956</c:v>
                </c:pt>
                <c:pt idx="135" formatCode="0.00">
                  <c:v>124.526</c:v>
                </c:pt>
                <c:pt idx="136" formatCode="0.00">
                  <c:v>124.11499999999999</c:v>
                </c:pt>
                <c:pt idx="137" formatCode="0.00">
                  <c:v>123.9854</c:v>
                </c:pt>
                <c:pt idx="138" formatCode="0.00">
                  <c:v>123.831</c:v>
                </c:pt>
                <c:pt idx="139" formatCode="0.00">
                  <c:v>122.3481</c:v>
                </c:pt>
                <c:pt idx="140" formatCode="0.00">
                  <c:v>121.94889999999999</c:v>
                </c:pt>
              </c:numCache>
            </c:numRef>
          </c:xVal>
          <c:yVal>
            <c:numRef>
              <c:f>Graphs!$Q$2:$Q$142</c:f>
              <c:numCache>
                <c:formatCode>General</c:formatCode>
                <c:ptCount val="141"/>
                <c:pt idx="0">
                  <c:v>1.0690200000000001</c:v>
                </c:pt>
                <c:pt idx="1">
                  <c:v>1.153327</c:v>
                </c:pt>
                <c:pt idx="2">
                  <c:v>1.214029</c:v>
                </c:pt>
                <c:pt idx="3">
                  <c:v>1.0589029999999999</c:v>
                </c:pt>
                <c:pt idx="4">
                  <c:v>0.85993699999999995</c:v>
                </c:pt>
                <c:pt idx="5">
                  <c:v>1.1162319999999999</c:v>
                </c:pt>
                <c:pt idx="6">
                  <c:v>0.99482899999999996</c:v>
                </c:pt>
                <c:pt idx="7">
                  <c:v>0.96110600000000002</c:v>
                </c:pt>
                <c:pt idx="8">
                  <c:v>1.079137</c:v>
                </c:pt>
                <c:pt idx="9">
                  <c:v>1.237635</c:v>
                </c:pt>
                <c:pt idx="10">
                  <c:v>0.91052200000000005</c:v>
                </c:pt>
                <c:pt idx="11">
                  <c:v>1.136466</c:v>
                </c:pt>
                <c:pt idx="12">
                  <c:v>1.0993710000000001</c:v>
                </c:pt>
                <c:pt idx="13">
                  <c:v>0.85319199999999995</c:v>
                </c:pt>
                <c:pt idx="14">
                  <c:v>0.89366000000000001</c:v>
                </c:pt>
                <c:pt idx="15">
                  <c:v>1.02518</c:v>
                </c:pt>
                <c:pt idx="16">
                  <c:v>1.0116909999999999</c:v>
                </c:pt>
                <c:pt idx="17">
                  <c:v>1.048786</c:v>
                </c:pt>
                <c:pt idx="18">
                  <c:v>1.0757639999999999</c:v>
                </c:pt>
                <c:pt idx="19">
                  <c:v>1.0690200000000001</c:v>
                </c:pt>
                <c:pt idx="20">
                  <c:v>1.008318</c:v>
                </c:pt>
                <c:pt idx="21">
                  <c:v>0.92401100000000003</c:v>
                </c:pt>
                <c:pt idx="22">
                  <c:v>0.90040500000000001</c:v>
                </c:pt>
                <c:pt idx="23">
                  <c:v>0.91052200000000005</c:v>
                </c:pt>
                <c:pt idx="24">
                  <c:v>0.97122299999999995</c:v>
                </c:pt>
                <c:pt idx="25">
                  <c:v>0.86330899999999999</c:v>
                </c:pt>
                <c:pt idx="26">
                  <c:v>1.001754</c:v>
                </c:pt>
                <c:pt idx="27">
                  <c:v>0.930755</c:v>
                </c:pt>
                <c:pt idx="28">
                  <c:v>0.9375</c:v>
                </c:pt>
                <c:pt idx="29">
                  <c:v>0.83633100000000005</c:v>
                </c:pt>
                <c:pt idx="30">
                  <c:v>1.0319240000000001</c:v>
                </c:pt>
                <c:pt idx="31">
                  <c:v>0.76214000000000004</c:v>
                </c:pt>
                <c:pt idx="32">
                  <c:v>0.89703200000000005</c:v>
                </c:pt>
                <c:pt idx="33">
                  <c:v>0.89028799999999997</c:v>
                </c:pt>
                <c:pt idx="34">
                  <c:v>1.0285519999999999</c:v>
                </c:pt>
                <c:pt idx="35">
                  <c:v>0.80935299999999999</c:v>
                </c:pt>
                <c:pt idx="36">
                  <c:v>0.88354299999999997</c:v>
                </c:pt>
                <c:pt idx="37">
                  <c:v>1.015063</c:v>
                </c:pt>
                <c:pt idx="38">
                  <c:v>1.008318</c:v>
                </c:pt>
                <c:pt idx="39">
                  <c:v>1.0352969999999999</c:v>
                </c:pt>
                <c:pt idx="40">
                  <c:v>0.95773399999999997</c:v>
                </c:pt>
                <c:pt idx="41">
                  <c:v>1.31857</c:v>
                </c:pt>
                <c:pt idx="42">
                  <c:v>0.90040500000000001</c:v>
                </c:pt>
                <c:pt idx="43">
                  <c:v>1.352293</c:v>
                </c:pt>
                <c:pt idx="44">
                  <c:v>1.065647</c:v>
                </c:pt>
                <c:pt idx="45">
                  <c:v>0.96785100000000002</c:v>
                </c:pt>
                <c:pt idx="46">
                  <c:v>1.3792720000000001</c:v>
                </c:pt>
                <c:pt idx="47">
                  <c:v>0.85319199999999995</c:v>
                </c:pt>
                <c:pt idx="48">
                  <c:v>0.95098899999999997</c:v>
                </c:pt>
                <c:pt idx="49">
                  <c:v>1.133094</c:v>
                </c:pt>
                <c:pt idx="50">
                  <c:v>1.0116909999999999</c:v>
                </c:pt>
                <c:pt idx="51">
                  <c:v>0.86668199999999995</c:v>
                </c:pt>
                <c:pt idx="52">
                  <c:v>0.75539599999999996</c:v>
                </c:pt>
                <c:pt idx="53">
                  <c:v>1.207284</c:v>
                </c:pt>
                <c:pt idx="54">
                  <c:v>0.83970299999999998</c:v>
                </c:pt>
                <c:pt idx="55">
                  <c:v>0.83970299999999998</c:v>
                </c:pt>
                <c:pt idx="56">
                  <c:v>0.87342600000000004</c:v>
                </c:pt>
                <c:pt idx="57">
                  <c:v>0.91389399999999998</c:v>
                </c:pt>
                <c:pt idx="58">
                  <c:v>0.87342600000000004</c:v>
                </c:pt>
                <c:pt idx="59">
                  <c:v>0.97796799999999995</c:v>
                </c:pt>
                <c:pt idx="60">
                  <c:v>0.97796799999999995</c:v>
                </c:pt>
                <c:pt idx="61">
                  <c:v>1.072392</c:v>
                </c:pt>
                <c:pt idx="62">
                  <c:v>1.0690200000000001</c:v>
                </c:pt>
                <c:pt idx="63">
                  <c:v>0.87343599999999999</c:v>
                </c:pt>
                <c:pt idx="64">
                  <c:v>0.86330899999999999</c:v>
                </c:pt>
                <c:pt idx="65">
                  <c:v>0.86307599999999995</c:v>
                </c:pt>
                <c:pt idx="66">
                  <c:v>0.90377700000000005</c:v>
                </c:pt>
                <c:pt idx="67">
                  <c:v>0.94087200000000004</c:v>
                </c:pt>
                <c:pt idx="68">
                  <c:v>0.82284199999999996</c:v>
                </c:pt>
                <c:pt idx="69">
                  <c:v>0.77225699999999997</c:v>
                </c:pt>
                <c:pt idx="70">
                  <c:v>0.80598000000000003</c:v>
                </c:pt>
                <c:pt idx="71">
                  <c:v>0.77225699999999997</c:v>
                </c:pt>
                <c:pt idx="72">
                  <c:v>0.832959</c:v>
                </c:pt>
                <c:pt idx="73">
                  <c:v>0.70818300000000001</c:v>
                </c:pt>
                <c:pt idx="74">
                  <c:v>0.83970299999999998</c:v>
                </c:pt>
                <c:pt idx="75">
                  <c:v>1.0386690000000001</c:v>
                </c:pt>
                <c:pt idx="76">
                  <c:v>0.92401100000000003</c:v>
                </c:pt>
                <c:pt idx="77">
                  <c:v>0.92063799999999996</c:v>
                </c:pt>
                <c:pt idx="78">
                  <c:v>0.944245</c:v>
                </c:pt>
                <c:pt idx="79">
                  <c:v>0.90741899999999998</c:v>
                </c:pt>
                <c:pt idx="80">
                  <c:v>1.095998</c:v>
                </c:pt>
                <c:pt idx="81">
                  <c:v>0.70481099999999997</c:v>
                </c:pt>
                <c:pt idx="82">
                  <c:v>0.98808499999999999</c:v>
                </c:pt>
                <c:pt idx="83">
                  <c:v>1.0386690000000001</c:v>
                </c:pt>
                <c:pt idx="84">
                  <c:v>0.99482899999999996</c:v>
                </c:pt>
                <c:pt idx="85">
                  <c:v>0.85319199999999995</c:v>
                </c:pt>
                <c:pt idx="86">
                  <c:v>0.92063799999999996</c:v>
                </c:pt>
                <c:pt idx="87">
                  <c:v>0.97122299999999995</c:v>
                </c:pt>
                <c:pt idx="88">
                  <c:v>0.88354299999999997</c:v>
                </c:pt>
                <c:pt idx="89">
                  <c:v>0.95773399999999997</c:v>
                </c:pt>
                <c:pt idx="90">
                  <c:v>0.99145700000000003</c:v>
                </c:pt>
                <c:pt idx="91">
                  <c:v>0.98143000000000002</c:v>
                </c:pt>
                <c:pt idx="92">
                  <c:v>1.119604</c:v>
                </c:pt>
                <c:pt idx="93">
                  <c:v>1.23089</c:v>
                </c:pt>
                <c:pt idx="94">
                  <c:v>1.153327</c:v>
                </c:pt>
                <c:pt idx="95">
                  <c:v>0.9375</c:v>
                </c:pt>
                <c:pt idx="96">
                  <c:v>1.1701889999999999</c:v>
                </c:pt>
                <c:pt idx="97">
                  <c:v>1.0352969999999999</c:v>
                </c:pt>
                <c:pt idx="98">
                  <c:v>1.1634439999999999</c:v>
                </c:pt>
                <c:pt idx="99">
                  <c:v>0.944245</c:v>
                </c:pt>
                <c:pt idx="100">
                  <c:v>1.1398379999999999</c:v>
                </c:pt>
                <c:pt idx="101">
                  <c:v>1.0116909999999999</c:v>
                </c:pt>
                <c:pt idx="102">
                  <c:v>1.0622750000000001</c:v>
                </c:pt>
                <c:pt idx="103">
                  <c:v>1.0622750000000001</c:v>
                </c:pt>
                <c:pt idx="104">
                  <c:v>0.93412799999999996</c:v>
                </c:pt>
                <c:pt idx="105">
                  <c:v>1.1499550000000001</c:v>
                </c:pt>
                <c:pt idx="106">
                  <c:v>1.018435</c:v>
                </c:pt>
                <c:pt idx="107">
                  <c:v>0.99482899999999996</c:v>
                </c:pt>
                <c:pt idx="108">
                  <c:v>0.90040500000000001</c:v>
                </c:pt>
                <c:pt idx="109">
                  <c:v>0.97459499999999999</c:v>
                </c:pt>
                <c:pt idx="110">
                  <c:v>1.0621579999999999</c:v>
                </c:pt>
                <c:pt idx="111">
                  <c:v>1.008318</c:v>
                </c:pt>
                <c:pt idx="112">
                  <c:v>0.99145700000000003</c:v>
                </c:pt>
                <c:pt idx="113">
                  <c:v>1.0352969999999999</c:v>
                </c:pt>
                <c:pt idx="114">
                  <c:v>1.065647</c:v>
                </c:pt>
                <c:pt idx="115">
                  <c:v>1.6490560000000001</c:v>
                </c:pt>
                <c:pt idx="116">
                  <c:v>1.272073</c:v>
                </c:pt>
                <c:pt idx="117">
                  <c:v>1.6187050000000001</c:v>
                </c:pt>
                <c:pt idx="118">
                  <c:v>1.0116909999999999</c:v>
                </c:pt>
                <c:pt idx="119">
                  <c:v>1.0319240000000001</c:v>
                </c:pt>
                <c:pt idx="120">
                  <c:v>1.0386690000000001</c:v>
                </c:pt>
                <c:pt idx="121">
                  <c:v>0.96110600000000002</c:v>
                </c:pt>
                <c:pt idx="122">
                  <c:v>1.0926260000000001</c:v>
                </c:pt>
                <c:pt idx="123">
                  <c:v>0.88691500000000001</c:v>
                </c:pt>
                <c:pt idx="124">
                  <c:v>0.92738299999999996</c:v>
                </c:pt>
                <c:pt idx="125">
                  <c:v>0.85993699999999995</c:v>
                </c:pt>
                <c:pt idx="126">
                  <c:v>0.97122299999999995</c:v>
                </c:pt>
                <c:pt idx="127">
                  <c:v>1.4163669999999999</c:v>
                </c:pt>
                <c:pt idx="128">
                  <c:v>0.98471200000000003</c:v>
                </c:pt>
                <c:pt idx="129">
                  <c:v>1.0757639999999999</c:v>
                </c:pt>
                <c:pt idx="130">
                  <c:v>0.98808499999999999</c:v>
                </c:pt>
                <c:pt idx="131">
                  <c:v>0.92738299999999996</c:v>
                </c:pt>
                <c:pt idx="132">
                  <c:v>1.102743</c:v>
                </c:pt>
                <c:pt idx="133">
                  <c:v>1.5109710000000001</c:v>
                </c:pt>
                <c:pt idx="134">
                  <c:v>1.0319240000000001</c:v>
                </c:pt>
                <c:pt idx="135">
                  <c:v>1.294964</c:v>
                </c:pt>
                <c:pt idx="136">
                  <c:v>0.80598000000000003</c:v>
                </c:pt>
                <c:pt idx="137">
                  <c:v>0.88354299999999997</c:v>
                </c:pt>
                <c:pt idx="138">
                  <c:v>1.133094</c:v>
                </c:pt>
                <c:pt idx="139">
                  <c:v>0.86330899999999999</c:v>
                </c:pt>
                <c:pt idx="140">
                  <c:v>0.83970299999999998</c:v>
                </c:pt>
              </c:numCache>
            </c:numRef>
          </c:yVal>
        </c:ser>
        <c:axId val="101337344"/>
        <c:axId val="101347712"/>
      </c:scatterChart>
      <c:valAx>
        <c:axId val="10133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Background Noise (dB</a:t>
                </a:r>
                <a:r>
                  <a:rPr lang="en-US" baseline="0"/>
                  <a:t> re 1 microPa)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47712"/>
        <c:crosses val="autoZero"/>
        <c:crossBetween val="midCat"/>
      </c:valAx>
      <c:valAx>
        <c:axId val="101347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Call Duration (secs)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3734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Fundamental Frequency vs. Background Noise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7.6942475940507432E-2"/>
                  <c:y val="0.22453703703703712"/>
                </c:manualLayout>
              </c:layout>
              <c:numFmt formatCode="General" sourceLinked="0"/>
            </c:trendlineLbl>
          </c:trendline>
          <c:xVal>
            <c:numRef>
              <c:f>Graphs!$R$2:$R$142</c:f>
              <c:numCache>
                <c:formatCode>General</c:formatCode>
                <c:ptCount val="141"/>
                <c:pt idx="0">
                  <c:v>122.7002</c:v>
                </c:pt>
                <c:pt idx="1">
                  <c:v>125.5823</c:v>
                </c:pt>
                <c:pt idx="2">
                  <c:v>126.9569</c:v>
                </c:pt>
                <c:pt idx="3">
                  <c:v>127.4041</c:v>
                </c:pt>
                <c:pt idx="4">
                  <c:v>126.30629999999999</c:v>
                </c:pt>
                <c:pt idx="5">
                  <c:v>128.29949999999999</c:v>
                </c:pt>
                <c:pt idx="6">
                  <c:v>125.61060000000001</c:v>
                </c:pt>
                <c:pt idx="7">
                  <c:v>126.1934</c:v>
                </c:pt>
                <c:pt idx="8">
                  <c:v>126.4278</c:v>
                </c:pt>
                <c:pt idx="9">
                  <c:v>128.21360000000001</c:v>
                </c:pt>
                <c:pt idx="10">
                  <c:v>127.9479</c:v>
                </c:pt>
                <c:pt idx="11">
                  <c:v>124.1948</c:v>
                </c:pt>
                <c:pt idx="12">
                  <c:v>124.9161</c:v>
                </c:pt>
                <c:pt idx="13">
                  <c:v>125.164</c:v>
                </c:pt>
                <c:pt idx="14">
                  <c:v>123.9641</c:v>
                </c:pt>
                <c:pt idx="15">
                  <c:v>124.19970000000001</c:v>
                </c:pt>
                <c:pt idx="16">
                  <c:v>121.34910000000001</c:v>
                </c:pt>
                <c:pt idx="17">
                  <c:v>125.6327</c:v>
                </c:pt>
                <c:pt idx="18">
                  <c:v>122.7347</c:v>
                </c:pt>
                <c:pt idx="19">
                  <c:v>123.63890000000001</c:v>
                </c:pt>
                <c:pt idx="20">
                  <c:v>119.4513</c:v>
                </c:pt>
                <c:pt idx="21">
                  <c:v>124.56950000000001</c:v>
                </c:pt>
                <c:pt idx="22">
                  <c:v>120.4209</c:v>
                </c:pt>
                <c:pt idx="23">
                  <c:v>124.4093</c:v>
                </c:pt>
                <c:pt idx="24">
                  <c:v>124.3347</c:v>
                </c:pt>
                <c:pt idx="25">
                  <c:v>124.14409999999999</c:v>
                </c:pt>
                <c:pt idx="26">
                  <c:v>124.2364</c:v>
                </c:pt>
                <c:pt idx="27">
                  <c:v>124.53440000000001</c:v>
                </c:pt>
                <c:pt idx="28">
                  <c:v>125.46729999999999</c:v>
                </c:pt>
                <c:pt idx="29">
                  <c:v>124.2375</c:v>
                </c:pt>
                <c:pt idx="30">
                  <c:v>125.43259999999999</c:v>
                </c:pt>
                <c:pt idx="31">
                  <c:v>125.6212</c:v>
                </c:pt>
                <c:pt idx="32">
                  <c:v>125.3848</c:v>
                </c:pt>
                <c:pt idx="33">
                  <c:v>125.5033</c:v>
                </c:pt>
                <c:pt idx="34">
                  <c:v>125.3194</c:v>
                </c:pt>
                <c:pt idx="35">
                  <c:v>126.95269999999999</c:v>
                </c:pt>
                <c:pt idx="36">
                  <c:v>126.50369999999999</c:v>
                </c:pt>
                <c:pt idx="37">
                  <c:v>126.399</c:v>
                </c:pt>
                <c:pt idx="38">
                  <c:v>120.0831</c:v>
                </c:pt>
                <c:pt idx="39">
                  <c:v>119.7223</c:v>
                </c:pt>
                <c:pt idx="40">
                  <c:v>120.8468</c:v>
                </c:pt>
                <c:pt idx="41">
                  <c:v>119.3732</c:v>
                </c:pt>
                <c:pt idx="42">
                  <c:v>119.1345</c:v>
                </c:pt>
                <c:pt idx="43">
                  <c:v>118.6198</c:v>
                </c:pt>
                <c:pt idx="44">
                  <c:v>120.5107</c:v>
                </c:pt>
                <c:pt idx="45">
                  <c:v>118.1631</c:v>
                </c:pt>
                <c:pt idx="46">
                  <c:v>119.6536</c:v>
                </c:pt>
                <c:pt idx="47">
                  <c:v>118.8986</c:v>
                </c:pt>
                <c:pt idx="48">
                  <c:v>124.7638</c:v>
                </c:pt>
                <c:pt idx="49">
                  <c:v>123.2392</c:v>
                </c:pt>
                <c:pt idx="50">
                  <c:v>124.604</c:v>
                </c:pt>
                <c:pt idx="51">
                  <c:v>122.5437</c:v>
                </c:pt>
                <c:pt idx="52">
                  <c:v>129.3776</c:v>
                </c:pt>
                <c:pt idx="53">
                  <c:v>122.242</c:v>
                </c:pt>
                <c:pt idx="54" formatCode="0.00">
                  <c:v>130.86519999999999</c:v>
                </c:pt>
                <c:pt idx="55" formatCode="0.00">
                  <c:v>121.0628</c:v>
                </c:pt>
                <c:pt idx="56" formatCode="0.00">
                  <c:v>120.6767</c:v>
                </c:pt>
                <c:pt idx="57" formatCode="0.00">
                  <c:v>120.0543</c:v>
                </c:pt>
                <c:pt idx="58" formatCode="0.00">
                  <c:v>120.1511</c:v>
                </c:pt>
                <c:pt idx="59" formatCode="0.00">
                  <c:v>130.71860000000001</c:v>
                </c:pt>
                <c:pt idx="60" formatCode="0.00">
                  <c:v>131.0026</c:v>
                </c:pt>
                <c:pt idx="61" formatCode="0.00">
                  <c:v>129.2636</c:v>
                </c:pt>
                <c:pt idx="62" formatCode="0.00">
                  <c:v>130.0874</c:v>
                </c:pt>
                <c:pt idx="63" formatCode="0.00">
                  <c:v>125.69</c:v>
                </c:pt>
                <c:pt idx="64" formatCode="0.00">
                  <c:v>125.7621</c:v>
                </c:pt>
                <c:pt idx="65" formatCode="0.00">
                  <c:v>126.2564</c:v>
                </c:pt>
                <c:pt idx="66" formatCode="0.00">
                  <c:v>127.0142</c:v>
                </c:pt>
                <c:pt idx="67" formatCode="0.00">
                  <c:v>128.0283</c:v>
                </c:pt>
                <c:pt idx="68" formatCode="0.00">
                  <c:v>122.8601</c:v>
                </c:pt>
                <c:pt idx="69" formatCode="0.00">
                  <c:v>124.1587</c:v>
                </c:pt>
                <c:pt idx="70" formatCode="0.00">
                  <c:v>125.72499999999999</c:v>
                </c:pt>
                <c:pt idx="71" formatCode="0.00">
                  <c:v>123.25700000000001</c:v>
                </c:pt>
                <c:pt idx="72" formatCode="0.00">
                  <c:v>127.4619</c:v>
                </c:pt>
                <c:pt idx="73" formatCode="0.00">
                  <c:v>127.48139999999999</c:v>
                </c:pt>
                <c:pt idx="74" formatCode="0.00">
                  <c:v>127.37130000000001</c:v>
                </c:pt>
                <c:pt idx="75" formatCode="0.00">
                  <c:v>127.78149999999999</c:v>
                </c:pt>
                <c:pt idx="76" formatCode="0.00">
                  <c:v>127.10129999999999</c:v>
                </c:pt>
                <c:pt idx="77" formatCode="0.00">
                  <c:v>128.71019999999999</c:v>
                </c:pt>
                <c:pt idx="78" formatCode="0.00">
                  <c:v>128.72919999999999</c:v>
                </c:pt>
                <c:pt idx="79">
                  <c:v>124.00409999999999</c:v>
                </c:pt>
                <c:pt idx="80">
                  <c:v>124.10039999999999</c:v>
                </c:pt>
                <c:pt idx="81">
                  <c:v>124.1996</c:v>
                </c:pt>
                <c:pt idx="82">
                  <c:v>125.17919999999999</c:v>
                </c:pt>
                <c:pt idx="83">
                  <c:v>123.8027</c:v>
                </c:pt>
                <c:pt idx="84">
                  <c:v>125.5234</c:v>
                </c:pt>
                <c:pt idx="85">
                  <c:v>125.38160000000001</c:v>
                </c:pt>
                <c:pt idx="86">
                  <c:v>127.4442</c:v>
                </c:pt>
                <c:pt idx="87">
                  <c:v>127.27200000000001</c:v>
                </c:pt>
                <c:pt idx="88">
                  <c:v>127.6144</c:v>
                </c:pt>
                <c:pt idx="89">
                  <c:v>128.0017</c:v>
                </c:pt>
                <c:pt idx="90">
                  <c:v>125.1942</c:v>
                </c:pt>
                <c:pt idx="91">
                  <c:v>124.5265</c:v>
                </c:pt>
                <c:pt idx="92">
                  <c:v>122.4451</c:v>
                </c:pt>
                <c:pt idx="93">
                  <c:v>121.125</c:v>
                </c:pt>
                <c:pt idx="94">
                  <c:v>122.6657</c:v>
                </c:pt>
                <c:pt idx="95">
                  <c:v>122.20869999999999</c:v>
                </c:pt>
                <c:pt idx="96">
                  <c:v>123.1215</c:v>
                </c:pt>
                <c:pt idx="97">
                  <c:v>123.87649999999999</c:v>
                </c:pt>
                <c:pt idx="98">
                  <c:v>125.6032</c:v>
                </c:pt>
                <c:pt idx="99">
                  <c:v>123.84480000000001</c:v>
                </c:pt>
                <c:pt idx="100">
                  <c:v>126.24760000000001</c:v>
                </c:pt>
                <c:pt idx="101">
                  <c:v>122.9328</c:v>
                </c:pt>
                <c:pt idx="102">
                  <c:v>122.569</c:v>
                </c:pt>
                <c:pt idx="103">
                  <c:v>122.8212</c:v>
                </c:pt>
                <c:pt idx="104">
                  <c:v>124.07859999999999</c:v>
                </c:pt>
                <c:pt idx="105">
                  <c:v>125.1718</c:v>
                </c:pt>
                <c:pt idx="106">
                  <c:v>125.27370000000001</c:v>
                </c:pt>
                <c:pt idx="107">
                  <c:v>125.167</c:v>
                </c:pt>
                <c:pt idx="108">
                  <c:v>127.3792</c:v>
                </c:pt>
                <c:pt idx="109">
                  <c:v>125.9679</c:v>
                </c:pt>
                <c:pt idx="110">
                  <c:v>125.624</c:v>
                </c:pt>
                <c:pt idx="111">
                  <c:v>126.28270000000001</c:v>
                </c:pt>
                <c:pt idx="112">
                  <c:v>126.1473</c:v>
                </c:pt>
                <c:pt idx="113">
                  <c:v>124.8647</c:v>
                </c:pt>
                <c:pt idx="114">
                  <c:v>125.88420000000001</c:v>
                </c:pt>
                <c:pt idx="115">
                  <c:v>126.185</c:v>
                </c:pt>
                <c:pt idx="116">
                  <c:v>126.38120000000001</c:v>
                </c:pt>
                <c:pt idx="117">
                  <c:v>126.1164</c:v>
                </c:pt>
                <c:pt idx="118">
                  <c:v>121.5986</c:v>
                </c:pt>
                <c:pt idx="119">
                  <c:v>122.2221</c:v>
                </c:pt>
                <c:pt idx="120">
                  <c:v>125.42449999999999</c:v>
                </c:pt>
                <c:pt idx="121">
                  <c:v>124.3117</c:v>
                </c:pt>
                <c:pt idx="122">
                  <c:v>123.78230000000001</c:v>
                </c:pt>
                <c:pt idx="123">
                  <c:v>122.5763</c:v>
                </c:pt>
                <c:pt idx="124">
                  <c:v>125.99630000000001</c:v>
                </c:pt>
                <c:pt idx="125">
                  <c:v>124.5711</c:v>
                </c:pt>
                <c:pt idx="126">
                  <c:v>125.2975</c:v>
                </c:pt>
                <c:pt idx="127">
                  <c:v>125.95820000000001</c:v>
                </c:pt>
                <c:pt idx="128">
                  <c:v>124.60339999999999</c:v>
                </c:pt>
                <c:pt idx="129">
                  <c:v>125.84350000000001</c:v>
                </c:pt>
                <c:pt idx="130">
                  <c:v>120.84829999999999</c:v>
                </c:pt>
                <c:pt idx="131">
                  <c:v>121.4308</c:v>
                </c:pt>
                <c:pt idx="132">
                  <c:v>121.8107</c:v>
                </c:pt>
                <c:pt idx="133" formatCode="0.00">
                  <c:v>127.9624</c:v>
                </c:pt>
                <c:pt idx="134" formatCode="0.00">
                  <c:v>126.8956</c:v>
                </c:pt>
                <c:pt idx="135" formatCode="0.00">
                  <c:v>124.526</c:v>
                </c:pt>
                <c:pt idx="136" formatCode="0.00">
                  <c:v>124.11499999999999</c:v>
                </c:pt>
                <c:pt idx="137" formatCode="0.00">
                  <c:v>123.9854</c:v>
                </c:pt>
                <c:pt idx="138" formatCode="0.00">
                  <c:v>123.831</c:v>
                </c:pt>
                <c:pt idx="139" formatCode="0.00">
                  <c:v>122.3481</c:v>
                </c:pt>
                <c:pt idx="140" formatCode="0.00">
                  <c:v>121.94889999999999</c:v>
                </c:pt>
              </c:numCache>
            </c:numRef>
          </c:xVal>
          <c:yVal>
            <c:numRef>
              <c:f>Graphs!$S$2:$S$142</c:f>
              <c:numCache>
                <c:formatCode>General</c:formatCode>
                <c:ptCount val="141"/>
                <c:pt idx="0">
                  <c:v>1281</c:v>
                </c:pt>
                <c:pt idx="1">
                  <c:v>1079</c:v>
                </c:pt>
                <c:pt idx="2">
                  <c:v>1041</c:v>
                </c:pt>
                <c:pt idx="3">
                  <c:v>1042</c:v>
                </c:pt>
                <c:pt idx="4">
                  <c:v>1092</c:v>
                </c:pt>
                <c:pt idx="5">
                  <c:v>1067</c:v>
                </c:pt>
                <c:pt idx="6">
                  <c:v>1051</c:v>
                </c:pt>
                <c:pt idx="7">
                  <c:v>1081</c:v>
                </c:pt>
                <c:pt idx="8">
                  <c:v>1081</c:v>
                </c:pt>
                <c:pt idx="9">
                  <c:v>1077</c:v>
                </c:pt>
                <c:pt idx="10">
                  <c:v>967</c:v>
                </c:pt>
                <c:pt idx="11">
                  <c:v>1070</c:v>
                </c:pt>
                <c:pt idx="12">
                  <c:v>1044</c:v>
                </c:pt>
                <c:pt idx="13">
                  <c:v>947</c:v>
                </c:pt>
                <c:pt idx="14">
                  <c:v>1118</c:v>
                </c:pt>
                <c:pt idx="15">
                  <c:v>1039</c:v>
                </c:pt>
                <c:pt idx="16">
                  <c:v>1090</c:v>
                </c:pt>
                <c:pt idx="17">
                  <c:v>974</c:v>
                </c:pt>
                <c:pt idx="18">
                  <c:v>1067</c:v>
                </c:pt>
                <c:pt idx="19">
                  <c:v>1036</c:v>
                </c:pt>
                <c:pt idx="20">
                  <c:v>1040</c:v>
                </c:pt>
                <c:pt idx="21">
                  <c:v>1113</c:v>
                </c:pt>
                <c:pt idx="22">
                  <c:v>1016</c:v>
                </c:pt>
                <c:pt idx="23">
                  <c:v>1035</c:v>
                </c:pt>
                <c:pt idx="24">
                  <c:v>1051</c:v>
                </c:pt>
                <c:pt idx="25">
                  <c:v>1081</c:v>
                </c:pt>
                <c:pt idx="26">
                  <c:v>1035</c:v>
                </c:pt>
                <c:pt idx="27">
                  <c:v>946</c:v>
                </c:pt>
                <c:pt idx="28">
                  <c:v>1064</c:v>
                </c:pt>
                <c:pt idx="29">
                  <c:v>1021</c:v>
                </c:pt>
                <c:pt idx="30">
                  <c:v>1118</c:v>
                </c:pt>
                <c:pt idx="31">
                  <c:v>1033</c:v>
                </c:pt>
                <c:pt idx="32">
                  <c:v>1084</c:v>
                </c:pt>
                <c:pt idx="33">
                  <c:v>1132</c:v>
                </c:pt>
                <c:pt idx="34">
                  <c:v>1034</c:v>
                </c:pt>
                <c:pt idx="35">
                  <c:v>1089</c:v>
                </c:pt>
                <c:pt idx="36">
                  <c:v>1077</c:v>
                </c:pt>
                <c:pt idx="37">
                  <c:v>1049</c:v>
                </c:pt>
                <c:pt idx="38">
                  <c:v>1032</c:v>
                </c:pt>
                <c:pt idx="39">
                  <c:v>1030</c:v>
                </c:pt>
                <c:pt idx="40">
                  <c:v>1048</c:v>
                </c:pt>
                <c:pt idx="41">
                  <c:v>1188</c:v>
                </c:pt>
                <c:pt idx="42">
                  <c:v>1104</c:v>
                </c:pt>
                <c:pt idx="43">
                  <c:v>956</c:v>
                </c:pt>
                <c:pt idx="44">
                  <c:v>1159</c:v>
                </c:pt>
                <c:pt idx="45">
                  <c:v>1051</c:v>
                </c:pt>
                <c:pt idx="46">
                  <c:v>1055</c:v>
                </c:pt>
                <c:pt idx="47">
                  <c:v>1117</c:v>
                </c:pt>
                <c:pt idx="48">
                  <c:v>1020</c:v>
                </c:pt>
                <c:pt idx="49">
                  <c:v>963</c:v>
                </c:pt>
                <c:pt idx="50">
                  <c:v>1086</c:v>
                </c:pt>
                <c:pt idx="51">
                  <c:v>1044</c:v>
                </c:pt>
                <c:pt idx="52">
                  <c:v>1086</c:v>
                </c:pt>
                <c:pt idx="53">
                  <c:v>1212</c:v>
                </c:pt>
                <c:pt idx="54">
                  <c:v>1079</c:v>
                </c:pt>
                <c:pt idx="55">
                  <c:v>1067</c:v>
                </c:pt>
                <c:pt idx="56">
                  <c:v>853</c:v>
                </c:pt>
                <c:pt idx="57">
                  <c:v>1453</c:v>
                </c:pt>
                <c:pt idx="58">
                  <c:v>1062</c:v>
                </c:pt>
                <c:pt idx="59">
                  <c:v>976</c:v>
                </c:pt>
                <c:pt idx="60">
                  <c:v>977</c:v>
                </c:pt>
                <c:pt idx="61">
                  <c:v>1001</c:v>
                </c:pt>
                <c:pt idx="62">
                  <c:v>1372</c:v>
                </c:pt>
                <c:pt idx="63">
                  <c:v>1013</c:v>
                </c:pt>
                <c:pt idx="64">
                  <c:v>1143</c:v>
                </c:pt>
                <c:pt idx="65">
                  <c:v>1096</c:v>
                </c:pt>
                <c:pt idx="66">
                  <c:v>1061</c:v>
                </c:pt>
                <c:pt idx="67">
                  <c:v>1338</c:v>
                </c:pt>
                <c:pt idx="68">
                  <c:v>1069</c:v>
                </c:pt>
                <c:pt idx="69">
                  <c:v>1068</c:v>
                </c:pt>
                <c:pt idx="70">
                  <c:v>1005</c:v>
                </c:pt>
                <c:pt idx="71">
                  <c:v>1082</c:v>
                </c:pt>
                <c:pt idx="72">
                  <c:v>981</c:v>
                </c:pt>
                <c:pt idx="73">
                  <c:v>1066</c:v>
                </c:pt>
                <c:pt idx="74">
                  <c:v>1071</c:v>
                </c:pt>
                <c:pt idx="75">
                  <c:v>983</c:v>
                </c:pt>
                <c:pt idx="76">
                  <c:v>1086</c:v>
                </c:pt>
                <c:pt idx="77">
                  <c:v>1088</c:v>
                </c:pt>
                <c:pt idx="78">
                  <c:v>1014</c:v>
                </c:pt>
                <c:pt idx="79">
                  <c:v>1108</c:v>
                </c:pt>
                <c:pt idx="80">
                  <c:v>1042</c:v>
                </c:pt>
                <c:pt idx="81">
                  <c:v>1075</c:v>
                </c:pt>
                <c:pt idx="82">
                  <c:v>1095</c:v>
                </c:pt>
                <c:pt idx="83">
                  <c:v>1054</c:v>
                </c:pt>
                <c:pt idx="84">
                  <c:v>1044</c:v>
                </c:pt>
                <c:pt idx="85">
                  <c:v>1101</c:v>
                </c:pt>
                <c:pt idx="86">
                  <c:v>980</c:v>
                </c:pt>
                <c:pt idx="87">
                  <c:v>1079</c:v>
                </c:pt>
                <c:pt idx="88">
                  <c:v>1182</c:v>
                </c:pt>
                <c:pt idx="89">
                  <c:v>1077</c:v>
                </c:pt>
                <c:pt idx="90">
                  <c:v>1118</c:v>
                </c:pt>
                <c:pt idx="91">
                  <c:v>990</c:v>
                </c:pt>
                <c:pt idx="92">
                  <c:v>1053</c:v>
                </c:pt>
                <c:pt idx="93">
                  <c:v>1004</c:v>
                </c:pt>
                <c:pt idx="94">
                  <c:v>948</c:v>
                </c:pt>
                <c:pt idx="95">
                  <c:v>1029</c:v>
                </c:pt>
                <c:pt idx="96">
                  <c:v>1050</c:v>
                </c:pt>
                <c:pt idx="97">
                  <c:v>1042</c:v>
                </c:pt>
                <c:pt idx="98">
                  <c:v>1032</c:v>
                </c:pt>
                <c:pt idx="99">
                  <c:v>1081</c:v>
                </c:pt>
                <c:pt idx="100">
                  <c:v>1067</c:v>
                </c:pt>
                <c:pt idx="101">
                  <c:v>1067</c:v>
                </c:pt>
                <c:pt idx="102">
                  <c:v>1044</c:v>
                </c:pt>
                <c:pt idx="103">
                  <c:v>1067</c:v>
                </c:pt>
                <c:pt idx="104">
                  <c:v>1052</c:v>
                </c:pt>
                <c:pt idx="105">
                  <c:v>950</c:v>
                </c:pt>
                <c:pt idx="106">
                  <c:v>1294</c:v>
                </c:pt>
                <c:pt idx="107">
                  <c:v>1076</c:v>
                </c:pt>
                <c:pt idx="108">
                  <c:v>1098</c:v>
                </c:pt>
                <c:pt idx="109">
                  <c:v>1047</c:v>
                </c:pt>
                <c:pt idx="110">
                  <c:v>1121</c:v>
                </c:pt>
                <c:pt idx="111">
                  <c:v>983</c:v>
                </c:pt>
                <c:pt idx="112">
                  <c:v>861</c:v>
                </c:pt>
                <c:pt idx="113">
                  <c:v>1099</c:v>
                </c:pt>
                <c:pt idx="114">
                  <c:v>1009</c:v>
                </c:pt>
                <c:pt idx="115">
                  <c:v>1030</c:v>
                </c:pt>
                <c:pt idx="116">
                  <c:v>1048</c:v>
                </c:pt>
                <c:pt idx="117">
                  <c:v>1203</c:v>
                </c:pt>
                <c:pt idx="118">
                  <c:v>1045</c:v>
                </c:pt>
                <c:pt idx="119">
                  <c:v>1153</c:v>
                </c:pt>
                <c:pt idx="120">
                  <c:v>1088</c:v>
                </c:pt>
                <c:pt idx="121">
                  <c:v>1024</c:v>
                </c:pt>
                <c:pt idx="122">
                  <c:v>1050</c:v>
                </c:pt>
                <c:pt idx="123">
                  <c:v>1119</c:v>
                </c:pt>
                <c:pt idx="124">
                  <c:v>994</c:v>
                </c:pt>
                <c:pt idx="125">
                  <c:v>572</c:v>
                </c:pt>
                <c:pt idx="126">
                  <c:v>1034</c:v>
                </c:pt>
                <c:pt idx="127">
                  <c:v>1129</c:v>
                </c:pt>
                <c:pt idx="128">
                  <c:v>869</c:v>
                </c:pt>
                <c:pt idx="129">
                  <c:v>1019</c:v>
                </c:pt>
                <c:pt idx="130">
                  <c:v>1042</c:v>
                </c:pt>
                <c:pt idx="131">
                  <c:v>1125</c:v>
                </c:pt>
                <c:pt idx="132">
                  <c:v>982</c:v>
                </c:pt>
                <c:pt idx="133">
                  <c:v>1117</c:v>
                </c:pt>
                <c:pt idx="134">
                  <c:v>1102</c:v>
                </c:pt>
                <c:pt idx="135">
                  <c:v>922</c:v>
                </c:pt>
                <c:pt idx="136">
                  <c:v>1446</c:v>
                </c:pt>
                <c:pt idx="137">
                  <c:v>1119</c:v>
                </c:pt>
                <c:pt idx="138">
                  <c:v>1038</c:v>
                </c:pt>
                <c:pt idx="139">
                  <c:v>848</c:v>
                </c:pt>
                <c:pt idx="140">
                  <c:v>1141</c:v>
                </c:pt>
              </c:numCache>
            </c:numRef>
          </c:yVal>
        </c:ser>
        <c:axId val="101380864"/>
        <c:axId val="101382784"/>
      </c:scatterChart>
      <c:valAx>
        <c:axId val="101380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Background Noise (dB re 1 microPa)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82784"/>
        <c:crosses val="autoZero"/>
        <c:crossBetween val="midCat"/>
      </c:valAx>
      <c:valAx>
        <c:axId val="101382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Fundamental Frequency (Hz)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8086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Power Ratio vs. Background Noise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0039085739282586"/>
                  <c:y val="0.35171041119860041"/>
                </c:manualLayout>
              </c:layout>
              <c:numFmt formatCode="General" sourceLinked="0"/>
            </c:trendlineLbl>
          </c:trendline>
          <c:xVal>
            <c:numRef>
              <c:f>Graphs!$T$2:$T$142</c:f>
              <c:numCache>
                <c:formatCode>General</c:formatCode>
                <c:ptCount val="141"/>
                <c:pt idx="0">
                  <c:v>122.7002</c:v>
                </c:pt>
                <c:pt idx="1">
                  <c:v>125.5823</c:v>
                </c:pt>
                <c:pt idx="2">
                  <c:v>126.9569</c:v>
                </c:pt>
                <c:pt idx="3">
                  <c:v>127.4041</c:v>
                </c:pt>
                <c:pt idx="4">
                  <c:v>126.30629999999999</c:v>
                </c:pt>
                <c:pt idx="5">
                  <c:v>128.29949999999999</c:v>
                </c:pt>
                <c:pt idx="6">
                  <c:v>125.61060000000001</c:v>
                </c:pt>
                <c:pt idx="7">
                  <c:v>126.1934</c:v>
                </c:pt>
                <c:pt idx="8">
                  <c:v>126.4278</c:v>
                </c:pt>
                <c:pt idx="9">
                  <c:v>128.21360000000001</c:v>
                </c:pt>
                <c:pt idx="10">
                  <c:v>127.9479</c:v>
                </c:pt>
                <c:pt idx="11">
                  <c:v>124.1948</c:v>
                </c:pt>
                <c:pt idx="12">
                  <c:v>124.9161</c:v>
                </c:pt>
                <c:pt idx="13">
                  <c:v>125.164</c:v>
                </c:pt>
                <c:pt idx="14">
                  <c:v>123.9641</c:v>
                </c:pt>
                <c:pt idx="15">
                  <c:v>124.19970000000001</c:v>
                </c:pt>
                <c:pt idx="16">
                  <c:v>121.34910000000001</c:v>
                </c:pt>
                <c:pt idx="17">
                  <c:v>125.6327</c:v>
                </c:pt>
                <c:pt idx="18">
                  <c:v>122.7347</c:v>
                </c:pt>
                <c:pt idx="19">
                  <c:v>123.63890000000001</c:v>
                </c:pt>
                <c:pt idx="20">
                  <c:v>119.4513</c:v>
                </c:pt>
                <c:pt idx="21">
                  <c:v>124.56950000000001</c:v>
                </c:pt>
                <c:pt idx="22">
                  <c:v>120.4209</c:v>
                </c:pt>
                <c:pt idx="23">
                  <c:v>124.4093</c:v>
                </c:pt>
                <c:pt idx="24">
                  <c:v>124.3347</c:v>
                </c:pt>
                <c:pt idx="25">
                  <c:v>124.14409999999999</c:v>
                </c:pt>
                <c:pt idx="26">
                  <c:v>124.2364</c:v>
                </c:pt>
                <c:pt idx="27">
                  <c:v>124.53440000000001</c:v>
                </c:pt>
                <c:pt idx="28">
                  <c:v>125.46729999999999</c:v>
                </c:pt>
                <c:pt idx="29">
                  <c:v>124.2375</c:v>
                </c:pt>
                <c:pt idx="30">
                  <c:v>125.43259999999999</c:v>
                </c:pt>
                <c:pt idx="31">
                  <c:v>125.6212</c:v>
                </c:pt>
                <c:pt idx="32">
                  <c:v>125.3848</c:v>
                </c:pt>
                <c:pt idx="33">
                  <c:v>125.5033</c:v>
                </c:pt>
                <c:pt idx="34">
                  <c:v>125.3194</c:v>
                </c:pt>
                <c:pt idx="35">
                  <c:v>126.95269999999999</c:v>
                </c:pt>
                <c:pt idx="36">
                  <c:v>126.50369999999999</c:v>
                </c:pt>
                <c:pt idx="37">
                  <c:v>126.399</c:v>
                </c:pt>
                <c:pt idx="38">
                  <c:v>120.0831</c:v>
                </c:pt>
                <c:pt idx="39">
                  <c:v>119.7223</c:v>
                </c:pt>
                <c:pt idx="40">
                  <c:v>120.8468</c:v>
                </c:pt>
                <c:pt idx="41">
                  <c:v>119.3732</c:v>
                </c:pt>
                <c:pt idx="42">
                  <c:v>119.1345</c:v>
                </c:pt>
                <c:pt idx="43">
                  <c:v>118.6198</c:v>
                </c:pt>
                <c:pt idx="44">
                  <c:v>120.5107</c:v>
                </c:pt>
                <c:pt idx="45">
                  <c:v>118.1631</c:v>
                </c:pt>
                <c:pt idx="46">
                  <c:v>119.6536</c:v>
                </c:pt>
                <c:pt idx="47">
                  <c:v>118.8986</c:v>
                </c:pt>
                <c:pt idx="48">
                  <c:v>124.7638</c:v>
                </c:pt>
                <c:pt idx="49">
                  <c:v>123.2392</c:v>
                </c:pt>
                <c:pt idx="50">
                  <c:v>124.604</c:v>
                </c:pt>
                <c:pt idx="51">
                  <c:v>122.5437</c:v>
                </c:pt>
                <c:pt idx="52">
                  <c:v>129.3776</c:v>
                </c:pt>
                <c:pt idx="53">
                  <c:v>122.242</c:v>
                </c:pt>
                <c:pt idx="54" formatCode="0.00">
                  <c:v>130.86519999999999</c:v>
                </c:pt>
                <c:pt idx="55" formatCode="0.00">
                  <c:v>121.0628</c:v>
                </c:pt>
                <c:pt idx="56" formatCode="0.00">
                  <c:v>120.6767</c:v>
                </c:pt>
                <c:pt idx="57" formatCode="0.00">
                  <c:v>120.0543</c:v>
                </c:pt>
                <c:pt idx="58" formatCode="0.00">
                  <c:v>120.1511</c:v>
                </c:pt>
                <c:pt idx="59" formatCode="0.00">
                  <c:v>130.71860000000001</c:v>
                </c:pt>
                <c:pt idx="60" formatCode="0.00">
                  <c:v>131.0026</c:v>
                </c:pt>
                <c:pt idx="61" formatCode="0.00">
                  <c:v>129.2636</c:v>
                </c:pt>
                <c:pt idx="62" formatCode="0.00">
                  <c:v>130.0874</c:v>
                </c:pt>
                <c:pt idx="63" formatCode="0.00">
                  <c:v>125.69</c:v>
                </c:pt>
                <c:pt idx="64" formatCode="0.00">
                  <c:v>125.7621</c:v>
                </c:pt>
                <c:pt idx="65" formatCode="0.00">
                  <c:v>126.2564</c:v>
                </c:pt>
                <c:pt idx="66" formatCode="0.00">
                  <c:v>127.0142</c:v>
                </c:pt>
                <c:pt idx="67" formatCode="0.00">
                  <c:v>128.0283</c:v>
                </c:pt>
                <c:pt idx="68" formatCode="0.00">
                  <c:v>122.8601</c:v>
                </c:pt>
                <c:pt idx="69" formatCode="0.00">
                  <c:v>124.1587</c:v>
                </c:pt>
                <c:pt idx="70" formatCode="0.00">
                  <c:v>125.72499999999999</c:v>
                </c:pt>
                <c:pt idx="71" formatCode="0.00">
                  <c:v>123.25700000000001</c:v>
                </c:pt>
                <c:pt idx="72" formatCode="0.00">
                  <c:v>127.4619</c:v>
                </c:pt>
                <c:pt idx="73" formatCode="0.00">
                  <c:v>127.48139999999999</c:v>
                </c:pt>
                <c:pt idx="74" formatCode="0.00">
                  <c:v>127.37130000000001</c:v>
                </c:pt>
                <c:pt idx="75" formatCode="0.00">
                  <c:v>127.78149999999999</c:v>
                </c:pt>
                <c:pt idx="76" formatCode="0.00">
                  <c:v>127.10129999999999</c:v>
                </c:pt>
                <c:pt idx="77" formatCode="0.00">
                  <c:v>128.71019999999999</c:v>
                </c:pt>
                <c:pt idx="78" formatCode="0.00">
                  <c:v>128.72919999999999</c:v>
                </c:pt>
                <c:pt idx="79">
                  <c:v>124.00409999999999</c:v>
                </c:pt>
                <c:pt idx="80">
                  <c:v>124.10039999999999</c:v>
                </c:pt>
                <c:pt idx="81">
                  <c:v>124.1996</c:v>
                </c:pt>
                <c:pt idx="82">
                  <c:v>125.17919999999999</c:v>
                </c:pt>
                <c:pt idx="83">
                  <c:v>123.8027</c:v>
                </c:pt>
                <c:pt idx="84">
                  <c:v>125.5234</c:v>
                </c:pt>
                <c:pt idx="85">
                  <c:v>125.38160000000001</c:v>
                </c:pt>
                <c:pt idx="86">
                  <c:v>127.4442</c:v>
                </c:pt>
                <c:pt idx="87">
                  <c:v>127.27200000000001</c:v>
                </c:pt>
                <c:pt idx="88">
                  <c:v>127.6144</c:v>
                </c:pt>
                <c:pt idx="89">
                  <c:v>128.0017</c:v>
                </c:pt>
                <c:pt idx="90">
                  <c:v>125.1942</c:v>
                </c:pt>
                <c:pt idx="91">
                  <c:v>124.5265</c:v>
                </c:pt>
                <c:pt idx="92">
                  <c:v>122.4451</c:v>
                </c:pt>
                <c:pt idx="93">
                  <c:v>121.125</c:v>
                </c:pt>
                <c:pt idx="94">
                  <c:v>122.6657</c:v>
                </c:pt>
                <c:pt idx="95">
                  <c:v>122.20869999999999</c:v>
                </c:pt>
                <c:pt idx="96">
                  <c:v>123.1215</c:v>
                </c:pt>
                <c:pt idx="97">
                  <c:v>123.87649999999999</c:v>
                </c:pt>
                <c:pt idx="98">
                  <c:v>125.6032</c:v>
                </c:pt>
                <c:pt idx="99">
                  <c:v>123.84480000000001</c:v>
                </c:pt>
                <c:pt idx="100">
                  <c:v>126.24760000000001</c:v>
                </c:pt>
                <c:pt idx="101">
                  <c:v>122.9328</c:v>
                </c:pt>
                <c:pt idx="102">
                  <c:v>122.569</c:v>
                </c:pt>
                <c:pt idx="103">
                  <c:v>122.8212</c:v>
                </c:pt>
                <c:pt idx="104">
                  <c:v>124.07859999999999</c:v>
                </c:pt>
                <c:pt idx="105">
                  <c:v>125.1718</c:v>
                </c:pt>
                <c:pt idx="106">
                  <c:v>125.27370000000001</c:v>
                </c:pt>
                <c:pt idx="107">
                  <c:v>125.167</c:v>
                </c:pt>
                <c:pt idx="108">
                  <c:v>127.3792</c:v>
                </c:pt>
                <c:pt idx="109">
                  <c:v>125.9679</c:v>
                </c:pt>
                <c:pt idx="110">
                  <c:v>125.624</c:v>
                </c:pt>
                <c:pt idx="111">
                  <c:v>126.28270000000001</c:v>
                </c:pt>
                <c:pt idx="112">
                  <c:v>126.1473</c:v>
                </c:pt>
                <c:pt idx="113">
                  <c:v>124.8647</c:v>
                </c:pt>
                <c:pt idx="114">
                  <c:v>125.88420000000001</c:v>
                </c:pt>
                <c:pt idx="115">
                  <c:v>126.185</c:v>
                </c:pt>
                <c:pt idx="116">
                  <c:v>126.38120000000001</c:v>
                </c:pt>
                <c:pt idx="117">
                  <c:v>126.1164</c:v>
                </c:pt>
                <c:pt idx="118">
                  <c:v>121.5986</c:v>
                </c:pt>
                <c:pt idx="119">
                  <c:v>122.2221</c:v>
                </c:pt>
                <c:pt idx="120">
                  <c:v>125.42449999999999</c:v>
                </c:pt>
                <c:pt idx="121">
                  <c:v>124.3117</c:v>
                </c:pt>
                <c:pt idx="122">
                  <c:v>123.78230000000001</c:v>
                </c:pt>
                <c:pt idx="123">
                  <c:v>122.5763</c:v>
                </c:pt>
                <c:pt idx="124">
                  <c:v>125.99630000000001</c:v>
                </c:pt>
                <c:pt idx="125">
                  <c:v>124.5711</c:v>
                </c:pt>
                <c:pt idx="126">
                  <c:v>125.2975</c:v>
                </c:pt>
                <c:pt idx="127">
                  <c:v>125.95820000000001</c:v>
                </c:pt>
                <c:pt idx="128">
                  <c:v>124.60339999999999</c:v>
                </c:pt>
                <c:pt idx="129">
                  <c:v>125.84350000000001</c:v>
                </c:pt>
                <c:pt idx="130">
                  <c:v>120.84829999999999</c:v>
                </c:pt>
                <c:pt idx="131">
                  <c:v>121.4308</c:v>
                </c:pt>
                <c:pt idx="132">
                  <c:v>121.8107</c:v>
                </c:pt>
                <c:pt idx="133" formatCode="0.00">
                  <c:v>127.9624</c:v>
                </c:pt>
                <c:pt idx="134" formatCode="0.00">
                  <c:v>126.8956</c:v>
                </c:pt>
                <c:pt idx="135" formatCode="0.00">
                  <c:v>124.526</c:v>
                </c:pt>
                <c:pt idx="136" formatCode="0.00">
                  <c:v>124.11499999999999</c:v>
                </c:pt>
                <c:pt idx="137" formatCode="0.00">
                  <c:v>123.9854</c:v>
                </c:pt>
                <c:pt idx="138" formatCode="0.00">
                  <c:v>123.831</c:v>
                </c:pt>
                <c:pt idx="139" formatCode="0.00">
                  <c:v>122.3481</c:v>
                </c:pt>
                <c:pt idx="140" formatCode="0.00">
                  <c:v>121.94889999999999</c:v>
                </c:pt>
              </c:numCache>
            </c:numRef>
          </c:xVal>
          <c:yVal>
            <c:numRef>
              <c:f>Graphs!$U$2:$U$142</c:f>
              <c:numCache>
                <c:formatCode>General</c:formatCode>
                <c:ptCount val="141"/>
                <c:pt idx="0">
                  <c:v>3</c:v>
                </c:pt>
                <c:pt idx="1">
                  <c:v>8</c:v>
                </c:pt>
                <c:pt idx="2">
                  <c:v>-1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-3</c:v>
                </c:pt>
                <c:pt idx="7">
                  <c:v>-3</c:v>
                </c:pt>
                <c:pt idx="8">
                  <c:v>4</c:v>
                </c:pt>
                <c:pt idx="9">
                  <c:v>5</c:v>
                </c:pt>
                <c:pt idx="10">
                  <c:v>-3</c:v>
                </c:pt>
                <c:pt idx="11">
                  <c:v>6</c:v>
                </c:pt>
                <c:pt idx="12">
                  <c:v>-3</c:v>
                </c:pt>
                <c:pt idx="13">
                  <c:v>0</c:v>
                </c:pt>
                <c:pt idx="14">
                  <c:v>3</c:v>
                </c:pt>
                <c:pt idx="15">
                  <c:v>-3</c:v>
                </c:pt>
                <c:pt idx="16">
                  <c:v>5</c:v>
                </c:pt>
                <c:pt idx="17">
                  <c:v>-8</c:v>
                </c:pt>
                <c:pt idx="18">
                  <c:v>-1</c:v>
                </c:pt>
                <c:pt idx="19">
                  <c:v>-5</c:v>
                </c:pt>
                <c:pt idx="20">
                  <c:v>-6</c:v>
                </c:pt>
                <c:pt idx="21">
                  <c:v>-4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-1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-2</c:v>
                </c:pt>
                <c:pt idx="30">
                  <c:v>-2</c:v>
                </c:pt>
                <c:pt idx="31">
                  <c:v>0</c:v>
                </c:pt>
                <c:pt idx="32">
                  <c:v>2</c:v>
                </c:pt>
                <c:pt idx="33">
                  <c:v>-2</c:v>
                </c:pt>
                <c:pt idx="34">
                  <c:v>4</c:v>
                </c:pt>
                <c:pt idx="35">
                  <c:v>4</c:v>
                </c:pt>
                <c:pt idx="36">
                  <c:v>-2</c:v>
                </c:pt>
                <c:pt idx="37">
                  <c:v>-3</c:v>
                </c:pt>
                <c:pt idx="38">
                  <c:v>-4</c:v>
                </c:pt>
                <c:pt idx="39">
                  <c:v>7</c:v>
                </c:pt>
                <c:pt idx="40">
                  <c:v>5</c:v>
                </c:pt>
                <c:pt idx="41">
                  <c:v>-3</c:v>
                </c:pt>
                <c:pt idx="42">
                  <c:v>-3</c:v>
                </c:pt>
                <c:pt idx="43">
                  <c:v>-2</c:v>
                </c:pt>
                <c:pt idx="44">
                  <c:v>-8</c:v>
                </c:pt>
                <c:pt idx="45">
                  <c:v>1</c:v>
                </c:pt>
                <c:pt idx="46">
                  <c:v>-8</c:v>
                </c:pt>
                <c:pt idx="47">
                  <c:v>-2</c:v>
                </c:pt>
                <c:pt idx="48">
                  <c:v>0</c:v>
                </c:pt>
                <c:pt idx="49">
                  <c:v>-4</c:v>
                </c:pt>
                <c:pt idx="50">
                  <c:v>-6</c:v>
                </c:pt>
                <c:pt idx="51">
                  <c:v>-6</c:v>
                </c:pt>
                <c:pt idx="52">
                  <c:v>-5</c:v>
                </c:pt>
                <c:pt idx="53">
                  <c:v>1</c:v>
                </c:pt>
                <c:pt idx="54">
                  <c:v>3</c:v>
                </c:pt>
                <c:pt idx="55">
                  <c:v>-2</c:v>
                </c:pt>
                <c:pt idx="56">
                  <c:v>5</c:v>
                </c:pt>
                <c:pt idx="57">
                  <c:v>4</c:v>
                </c:pt>
                <c:pt idx="58">
                  <c:v>1</c:v>
                </c:pt>
                <c:pt idx="59">
                  <c:v>-10</c:v>
                </c:pt>
                <c:pt idx="60">
                  <c:v>-7</c:v>
                </c:pt>
                <c:pt idx="61">
                  <c:v>-2</c:v>
                </c:pt>
                <c:pt idx="62">
                  <c:v>-14</c:v>
                </c:pt>
                <c:pt idx="63">
                  <c:v>-8</c:v>
                </c:pt>
                <c:pt idx="64">
                  <c:v>-2</c:v>
                </c:pt>
                <c:pt idx="65">
                  <c:v>-7</c:v>
                </c:pt>
                <c:pt idx="66">
                  <c:v>-6</c:v>
                </c:pt>
                <c:pt idx="67">
                  <c:v>5</c:v>
                </c:pt>
                <c:pt idx="68">
                  <c:v>13</c:v>
                </c:pt>
                <c:pt idx="69">
                  <c:v>-1</c:v>
                </c:pt>
                <c:pt idx="70">
                  <c:v>1</c:v>
                </c:pt>
                <c:pt idx="71">
                  <c:v>0</c:v>
                </c:pt>
                <c:pt idx="72">
                  <c:v>-3</c:v>
                </c:pt>
                <c:pt idx="73">
                  <c:v>1</c:v>
                </c:pt>
                <c:pt idx="74">
                  <c:v>2</c:v>
                </c:pt>
                <c:pt idx="75">
                  <c:v>-3</c:v>
                </c:pt>
                <c:pt idx="76">
                  <c:v>-1</c:v>
                </c:pt>
                <c:pt idx="77">
                  <c:v>6</c:v>
                </c:pt>
                <c:pt idx="78">
                  <c:v>-12</c:v>
                </c:pt>
                <c:pt idx="79">
                  <c:v>1</c:v>
                </c:pt>
                <c:pt idx="80">
                  <c:v>6</c:v>
                </c:pt>
                <c:pt idx="81">
                  <c:v>-4</c:v>
                </c:pt>
                <c:pt idx="82">
                  <c:v>3</c:v>
                </c:pt>
                <c:pt idx="83">
                  <c:v>-4</c:v>
                </c:pt>
                <c:pt idx="84">
                  <c:v>-1</c:v>
                </c:pt>
                <c:pt idx="85">
                  <c:v>10</c:v>
                </c:pt>
                <c:pt idx="86">
                  <c:v>4</c:v>
                </c:pt>
                <c:pt idx="87">
                  <c:v>0</c:v>
                </c:pt>
                <c:pt idx="88">
                  <c:v>5</c:v>
                </c:pt>
                <c:pt idx="89">
                  <c:v>-4</c:v>
                </c:pt>
                <c:pt idx="90">
                  <c:v>9</c:v>
                </c:pt>
                <c:pt idx="91">
                  <c:v>3</c:v>
                </c:pt>
                <c:pt idx="92">
                  <c:v>6</c:v>
                </c:pt>
                <c:pt idx="93">
                  <c:v>1</c:v>
                </c:pt>
                <c:pt idx="94">
                  <c:v>-2</c:v>
                </c:pt>
                <c:pt idx="95">
                  <c:v>7</c:v>
                </c:pt>
                <c:pt idx="96">
                  <c:v>3</c:v>
                </c:pt>
                <c:pt idx="97">
                  <c:v>8</c:v>
                </c:pt>
                <c:pt idx="98">
                  <c:v>-1</c:v>
                </c:pt>
                <c:pt idx="99">
                  <c:v>4</c:v>
                </c:pt>
                <c:pt idx="100">
                  <c:v>6</c:v>
                </c:pt>
                <c:pt idx="101">
                  <c:v>8</c:v>
                </c:pt>
                <c:pt idx="102">
                  <c:v>1</c:v>
                </c:pt>
                <c:pt idx="103">
                  <c:v>5</c:v>
                </c:pt>
                <c:pt idx="104">
                  <c:v>6</c:v>
                </c:pt>
                <c:pt idx="105">
                  <c:v>-1</c:v>
                </c:pt>
                <c:pt idx="106">
                  <c:v>9</c:v>
                </c:pt>
                <c:pt idx="107">
                  <c:v>2</c:v>
                </c:pt>
                <c:pt idx="108">
                  <c:v>9</c:v>
                </c:pt>
                <c:pt idx="109">
                  <c:v>-3</c:v>
                </c:pt>
                <c:pt idx="110">
                  <c:v>0</c:v>
                </c:pt>
                <c:pt idx="111">
                  <c:v>2</c:v>
                </c:pt>
                <c:pt idx="112">
                  <c:v>12</c:v>
                </c:pt>
                <c:pt idx="113">
                  <c:v>-7</c:v>
                </c:pt>
                <c:pt idx="114">
                  <c:v>0</c:v>
                </c:pt>
                <c:pt idx="115">
                  <c:v>-3</c:v>
                </c:pt>
                <c:pt idx="116">
                  <c:v>3</c:v>
                </c:pt>
                <c:pt idx="117">
                  <c:v>5</c:v>
                </c:pt>
                <c:pt idx="118">
                  <c:v>2</c:v>
                </c:pt>
                <c:pt idx="119">
                  <c:v>-3</c:v>
                </c:pt>
                <c:pt idx="120">
                  <c:v>-4</c:v>
                </c:pt>
                <c:pt idx="121">
                  <c:v>-10</c:v>
                </c:pt>
                <c:pt idx="122">
                  <c:v>-4</c:v>
                </c:pt>
                <c:pt idx="123">
                  <c:v>8</c:v>
                </c:pt>
                <c:pt idx="124">
                  <c:v>2</c:v>
                </c:pt>
                <c:pt idx="125">
                  <c:v>2</c:v>
                </c:pt>
                <c:pt idx="126">
                  <c:v>5</c:v>
                </c:pt>
                <c:pt idx="127">
                  <c:v>-8</c:v>
                </c:pt>
                <c:pt idx="128">
                  <c:v>2</c:v>
                </c:pt>
                <c:pt idx="129">
                  <c:v>5</c:v>
                </c:pt>
                <c:pt idx="130">
                  <c:v>-9</c:v>
                </c:pt>
                <c:pt idx="131">
                  <c:v>-4</c:v>
                </c:pt>
                <c:pt idx="132">
                  <c:v>4</c:v>
                </c:pt>
                <c:pt idx="133">
                  <c:v>-16</c:v>
                </c:pt>
                <c:pt idx="134">
                  <c:v>-2</c:v>
                </c:pt>
                <c:pt idx="135">
                  <c:v>-4</c:v>
                </c:pt>
                <c:pt idx="136">
                  <c:v>2</c:v>
                </c:pt>
                <c:pt idx="137">
                  <c:v>-20</c:v>
                </c:pt>
                <c:pt idx="138">
                  <c:v>-2</c:v>
                </c:pt>
                <c:pt idx="139">
                  <c:v>1</c:v>
                </c:pt>
                <c:pt idx="140">
                  <c:v>0</c:v>
                </c:pt>
              </c:numCache>
            </c:numRef>
          </c:yVal>
        </c:ser>
        <c:axId val="101649408"/>
        <c:axId val="101663872"/>
      </c:scatterChart>
      <c:valAx>
        <c:axId val="101649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Background Noise (dB re 1 microPa)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663872"/>
        <c:crosses val="autoZero"/>
        <c:crossBetween val="midCat"/>
      </c:valAx>
      <c:valAx>
        <c:axId val="1016638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Power Ratio (relative 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64940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Boat count vs. background noise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3.5330271216097997E-3"/>
                  <c:y val="0.30816491688538938"/>
                </c:manualLayout>
              </c:layout>
              <c:numFmt formatCode="General" sourceLinked="0"/>
            </c:trendlineLbl>
          </c:trendline>
          <c:trendline>
            <c:trendlineType val="log"/>
          </c:trendline>
          <c:xVal>
            <c:numRef>
              <c:f>All!$P$2:$P$142</c:f>
              <c:numCache>
                <c:formatCode>General</c:formatCode>
                <c:ptCount val="141"/>
                <c:pt idx="0">
                  <c:v>0.90308998699194354</c:v>
                </c:pt>
                <c:pt idx="1">
                  <c:v>0.90308998699194354</c:v>
                </c:pt>
                <c:pt idx="2">
                  <c:v>0.90308998699194354</c:v>
                </c:pt>
                <c:pt idx="3">
                  <c:v>0.90308998699194354</c:v>
                </c:pt>
                <c:pt idx="4">
                  <c:v>0.90308998699194354</c:v>
                </c:pt>
                <c:pt idx="5">
                  <c:v>0.90308998699194354</c:v>
                </c:pt>
                <c:pt idx="6">
                  <c:v>0.90308998699194354</c:v>
                </c:pt>
                <c:pt idx="7">
                  <c:v>0.90308998699194354</c:v>
                </c:pt>
                <c:pt idx="8">
                  <c:v>0.90308998699194354</c:v>
                </c:pt>
                <c:pt idx="9">
                  <c:v>0.90308998699194354</c:v>
                </c:pt>
                <c:pt idx="10">
                  <c:v>0.90308998699194354</c:v>
                </c:pt>
                <c:pt idx="11">
                  <c:v>0.90308998699194354</c:v>
                </c:pt>
                <c:pt idx="12">
                  <c:v>0.90308998699194354</c:v>
                </c:pt>
                <c:pt idx="13">
                  <c:v>0.90308998699194354</c:v>
                </c:pt>
                <c:pt idx="14">
                  <c:v>0.90308998699194354</c:v>
                </c:pt>
                <c:pt idx="15">
                  <c:v>1.0791812460476249</c:v>
                </c:pt>
                <c:pt idx="16">
                  <c:v>1.0791812460476249</c:v>
                </c:pt>
                <c:pt idx="17">
                  <c:v>0.95424250943932487</c:v>
                </c:pt>
                <c:pt idx="18">
                  <c:v>0.6020599913279624</c:v>
                </c:pt>
                <c:pt idx="19">
                  <c:v>0.3010299956639812</c:v>
                </c:pt>
                <c:pt idx="20">
                  <c:v>0.3010299956639812</c:v>
                </c:pt>
                <c:pt idx="21">
                  <c:v>0.3010299956639812</c:v>
                </c:pt>
                <c:pt idx="22">
                  <c:v>0.3010299956639812</c:v>
                </c:pt>
                <c:pt idx="23">
                  <c:v>0.3010299956639812</c:v>
                </c:pt>
                <c:pt idx="24">
                  <c:v>0.3010299956639812</c:v>
                </c:pt>
                <c:pt idx="25">
                  <c:v>0.3010299956639812</c:v>
                </c:pt>
                <c:pt idx="26">
                  <c:v>0.3010299956639812</c:v>
                </c:pt>
                <c:pt idx="27">
                  <c:v>0.3010299956639812</c:v>
                </c:pt>
                <c:pt idx="28">
                  <c:v>0.3010299956639812</c:v>
                </c:pt>
                <c:pt idx="29">
                  <c:v>0.3010299956639812</c:v>
                </c:pt>
                <c:pt idx="30">
                  <c:v>0.3010299956639812</c:v>
                </c:pt>
                <c:pt idx="31">
                  <c:v>0.3010299956639812</c:v>
                </c:pt>
                <c:pt idx="32">
                  <c:v>0.47712125471966244</c:v>
                </c:pt>
                <c:pt idx="33">
                  <c:v>0.47712125471966244</c:v>
                </c:pt>
                <c:pt idx="34">
                  <c:v>0.47712125471966244</c:v>
                </c:pt>
                <c:pt idx="35">
                  <c:v>0.47712125471966244</c:v>
                </c:pt>
                <c:pt idx="36">
                  <c:v>0.47712125471966244</c:v>
                </c:pt>
                <c:pt idx="37">
                  <c:v>0.47712125471966244</c:v>
                </c:pt>
                <c:pt idx="38">
                  <c:v>0.3010299956639812</c:v>
                </c:pt>
                <c:pt idx="39">
                  <c:v>0.3010299956639812</c:v>
                </c:pt>
                <c:pt idx="40">
                  <c:v>0.3010299956639812</c:v>
                </c:pt>
                <c:pt idx="41">
                  <c:v>0.3010299956639812</c:v>
                </c:pt>
                <c:pt idx="42">
                  <c:v>0.3010299956639812</c:v>
                </c:pt>
                <c:pt idx="43">
                  <c:v>0.3010299956639812</c:v>
                </c:pt>
                <c:pt idx="44">
                  <c:v>0.3010299956639812</c:v>
                </c:pt>
                <c:pt idx="45">
                  <c:v>0.3010299956639812</c:v>
                </c:pt>
                <c:pt idx="46">
                  <c:v>0.3010299956639812</c:v>
                </c:pt>
                <c:pt idx="47">
                  <c:v>0.3010299956639812</c:v>
                </c:pt>
                <c:pt idx="48">
                  <c:v>0.3010299956639812</c:v>
                </c:pt>
                <c:pt idx="49">
                  <c:v>0.3010299956639812</c:v>
                </c:pt>
                <c:pt idx="50">
                  <c:v>0.3010299956639812</c:v>
                </c:pt>
                <c:pt idx="51">
                  <c:v>0.3010299956639812</c:v>
                </c:pt>
                <c:pt idx="52">
                  <c:v>0.3010299956639812</c:v>
                </c:pt>
                <c:pt idx="53">
                  <c:v>0.3010299956639812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0.6020599913279624</c:v>
                </c:pt>
                <c:pt idx="60">
                  <c:v>0.6020599913279624</c:v>
                </c:pt>
                <c:pt idx="61">
                  <c:v>0.6020599913279624</c:v>
                </c:pt>
                <c:pt idx="62">
                  <c:v>0.6020599913279624</c:v>
                </c:pt>
                <c:pt idx="63">
                  <c:v>0.6020599913279624</c:v>
                </c:pt>
                <c:pt idx="64">
                  <c:v>0.6020599913279624</c:v>
                </c:pt>
                <c:pt idx="65">
                  <c:v>0.6020599913279624</c:v>
                </c:pt>
                <c:pt idx="66">
                  <c:v>0.6020599913279624</c:v>
                </c:pt>
                <c:pt idx="67">
                  <c:v>0.6020599913279624</c:v>
                </c:pt>
                <c:pt idx="68">
                  <c:v>0.6020599913279624</c:v>
                </c:pt>
                <c:pt idx="69">
                  <c:v>0.6020599913279624</c:v>
                </c:pt>
                <c:pt idx="70">
                  <c:v>0.6020599913279624</c:v>
                </c:pt>
                <c:pt idx="71">
                  <c:v>0.6020599913279624</c:v>
                </c:pt>
                <c:pt idx="72">
                  <c:v>0.6020599913279624</c:v>
                </c:pt>
                <c:pt idx="73">
                  <c:v>0.69897000433601886</c:v>
                </c:pt>
                <c:pt idx="74">
                  <c:v>0.69897000433601886</c:v>
                </c:pt>
                <c:pt idx="75">
                  <c:v>0.69897000433601886</c:v>
                </c:pt>
                <c:pt idx="76">
                  <c:v>0.69897000433601886</c:v>
                </c:pt>
                <c:pt idx="77">
                  <c:v>0.69897000433601886</c:v>
                </c:pt>
                <c:pt idx="78">
                  <c:v>0.69897000433601886</c:v>
                </c:pt>
                <c:pt idx="79">
                  <c:v>0.3010299956639812</c:v>
                </c:pt>
                <c:pt idx="80">
                  <c:v>0.3010299956639812</c:v>
                </c:pt>
                <c:pt idx="81">
                  <c:v>0.3010299956639812</c:v>
                </c:pt>
                <c:pt idx="82">
                  <c:v>0.3010299956639812</c:v>
                </c:pt>
                <c:pt idx="83">
                  <c:v>0.3010299956639812</c:v>
                </c:pt>
                <c:pt idx="84">
                  <c:v>0.3010299956639812</c:v>
                </c:pt>
                <c:pt idx="85">
                  <c:v>0.3010299956639812</c:v>
                </c:pt>
                <c:pt idx="86">
                  <c:v>0.3010299956639812</c:v>
                </c:pt>
                <c:pt idx="87">
                  <c:v>0.3010299956639812</c:v>
                </c:pt>
                <c:pt idx="88">
                  <c:v>0.3010299956639812</c:v>
                </c:pt>
                <c:pt idx="89">
                  <c:v>0.3010299956639812</c:v>
                </c:pt>
                <c:pt idx="90">
                  <c:v>0.3010299956639812</c:v>
                </c:pt>
                <c:pt idx="91">
                  <c:v>0.3010299956639812</c:v>
                </c:pt>
                <c:pt idx="92">
                  <c:v>0.3010299956639812</c:v>
                </c:pt>
                <c:pt idx="93">
                  <c:v>0.3010299956639812</c:v>
                </c:pt>
                <c:pt idx="94">
                  <c:v>0.3010299956639812</c:v>
                </c:pt>
                <c:pt idx="95">
                  <c:v>0.3010299956639812</c:v>
                </c:pt>
                <c:pt idx="96">
                  <c:v>0.3010299956639812</c:v>
                </c:pt>
                <c:pt idx="97">
                  <c:v>0.3010299956639812</c:v>
                </c:pt>
                <c:pt idx="98">
                  <c:v>0.3010299956639812</c:v>
                </c:pt>
                <c:pt idx="99">
                  <c:v>0.3010299956639812</c:v>
                </c:pt>
                <c:pt idx="100">
                  <c:v>0.3010299956639812</c:v>
                </c:pt>
                <c:pt idx="101">
                  <c:v>0.3010299956639812</c:v>
                </c:pt>
                <c:pt idx="102">
                  <c:v>0.3010299956639812</c:v>
                </c:pt>
                <c:pt idx="103">
                  <c:v>0.3010299956639812</c:v>
                </c:pt>
                <c:pt idx="104">
                  <c:v>0.3010299956639812</c:v>
                </c:pt>
                <c:pt idx="105">
                  <c:v>0.3010299956639812</c:v>
                </c:pt>
                <c:pt idx="106">
                  <c:v>0.3010299956639812</c:v>
                </c:pt>
                <c:pt idx="107">
                  <c:v>0.3010299956639812</c:v>
                </c:pt>
                <c:pt idx="108">
                  <c:v>0.3010299956639812</c:v>
                </c:pt>
                <c:pt idx="109">
                  <c:v>0.3010299956639812</c:v>
                </c:pt>
                <c:pt idx="110">
                  <c:v>0.3010299956639812</c:v>
                </c:pt>
                <c:pt idx="111">
                  <c:v>0.3010299956639812</c:v>
                </c:pt>
                <c:pt idx="112">
                  <c:v>0.3010299956639812</c:v>
                </c:pt>
                <c:pt idx="113">
                  <c:v>0.3010299956639812</c:v>
                </c:pt>
                <c:pt idx="114">
                  <c:v>0.3010299956639812</c:v>
                </c:pt>
                <c:pt idx="115">
                  <c:v>0.3010299956639812</c:v>
                </c:pt>
                <c:pt idx="116">
                  <c:v>0.6020599913279624</c:v>
                </c:pt>
                <c:pt idx="117">
                  <c:v>0.6020599913279624</c:v>
                </c:pt>
                <c:pt idx="118">
                  <c:v>0.47712125471966244</c:v>
                </c:pt>
                <c:pt idx="119">
                  <c:v>0.47712125471966244</c:v>
                </c:pt>
                <c:pt idx="120">
                  <c:v>0.6020599913279624</c:v>
                </c:pt>
                <c:pt idx="121">
                  <c:v>0.47712125471966244</c:v>
                </c:pt>
                <c:pt idx="122">
                  <c:v>0</c:v>
                </c:pt>
                <c:pt idx="123">
                  <c:v>0.3010299956639812</c:v>
                </c:pt>
                <c:pt idx="124">
                  <c:v>0.3010299956639812</c:v>
                </c:pt>
                <c:pt idx="125">
                  <c:v>0.3010299956639812</c:v>
                </c:pt>
                <c:pt idx="126">
                  <c:v>0.3010299956639812</c:v>
                </c:pt>
                <c:pt idx="127">
                  <c:v>0.3010299956639812</c:v>
                </c:pt>
                <c:pt idx="128">
                  <c:v>0.3010299956639812</c:v>
                </c:pt>
                <c:pt idx="129">
                  <c:v>0.3010299956639812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0.69897000433601886</c:v>
                </c:pt>
                <c:pt idx="134">
                  <c:v>0.69897000433601886</c:v>
                </c:pt>
                <c:pt idx="135">
                  <c:v>0.69897000433601886</c:v>
                </c:pt>
                <c:pt idx="136">
                  <c:v>0.69897000433601886</c:v>
                </c:pt>
                <c:pt idx="137">
                  <c:v>0.69897000433601886</c:v>
                </c:pt>
                <c:pt idx="138">
                  <c:v>0.69897000433601886</c:v>
                </c:pt>
                <c:pt idx="139">
                  <c:v>0.69897000433601886</c:v>
                </c:pt>
                <c:pt idx="140">
                  <c:v>0.69897000433601886</c:v>
                </c:pt>
              </c:numCache>
            </c:numRef>
          </c:xVal>
          <c:yVal>
            <c:numRef>
              <c:f>All!$Q$2:$Q$142</c:f>
              <c:numCache>
                <c:formatCode>General</c:formatCode>
                <c:ptCount val="141"/>
                <c:pt idx="0">
                  <c:v>122.7002</c:v>
                </c:pt>
                <c:pt idx="1">
                  <c:v>125.5823</c:v>
                </c:pt>
                <c:pt idx="2">
                  <c:v>126.9569</c:v>
                </c:pt>
                <c:pt idx="3">
                  <c:v>127.4041</c:v>
                </c:pt>
                <c:pt idx="4">
                  <c:v>126.30629999999999</c:v>
                </c:pt>
                <c:pt idx="5">
                  <c:v>128.29949999999999</c:v>
                </c:pt>
                <c:pt idx="6">
                  <c:v>125.61060000000001</c:v>
                </c:pt>
                <c:pt idx="7">
                  <c:v>126.1934</c:v>
                </c:pt>
                <c:pt idx="8">
                  <c:v>126.4278</c:v>
                </c:pt>
                <c:pt idx="9">
                  <c:v>128.21360000000001</c:v>
                </c:pt>
                <c:pt idx="10">
                  <c:v>127.9479</c:v>
                </c:pt>
                <c:pt idx="11">
                  <c:v>124.1948</c:v>
                </c:pt>
                <c:pt idx="12">
                  <c:v>124.9161</c:v>
                </c:pt>
                <c:pt idx="13">
                  <c:v>125.164</c:v>
                </c:pt>
                <c:pt idx="14">
                  <c:v>123.9641</c:v>
                </c:pt>
                <c:pt idx="15">
                  <c:v>124.19970000000001</c:v>
                </c:pt>
                <c:pt idx="16">
                  <c:v>121.34910000000001</c:v>
                </c:pt>
                <c:pt idx="17">
                  <c:v>125.6327</c:v>
                </c:pt>
                <c:pt idx="18">
                  <c:v>122.7347</c:v>
                </c:pt>
                <c:pt idx="19">
                  <c:v>123.63890000000001</c:v>
                </c:pt>
                <c:pt idx="20">
                  <c:v>119.4513</c:v>
                </c:pt>
                <c:pt idx="21">
                  <c:v>124.56950000000001</c:v>
                </c:pt>
                <c:pt idx="22">
                  <c:v>120.4209</c:v>
                </c:pt>
                <c:pt idx="23">
                  <c:v>124.4093</c:v>
                </c:pt>
                <c:pt idx="24">
                  <c:v>124.3347</c:v>
                </c:pt>
                <c:pt idx="25">
                  <c:v>124.14409999999999</c:v>
                </c:pt>
                <c:pt idx="26">
                  <c:v>124.2364</c:v>
                </c:pt>
                <c:pt idx="27">
                  <c:v>124.53440000000001</c:v>
                </c:pt>
                <c:pt idx="28">
                  <c:v>125.46729999999999</c:v>
                </c:pt>
                <c:pt idx="29">
                  <c:v>124.2375</c:v>
                </c:pt>
                <c:pt idx="30">
                  <c:v>125.43259999999999</c:v>
                </c:pt>
                <c:pt idx="31">
                  <c:v>125.6212</c:v>
                </c:pt>
                <c:pt idx="32">
                  <c:v>125.3848</c:v>
                </c:pt>
                <c:pt idx="33">
                  <c:v>125.5033</c:v>
                </c:pt>
                <c:pt idx="34">
                  <c:v>125.3194</c:v>
                </c:pt>
                <c:pt idx="35">
                  <c:v>126.95269999999999</c:v>
                </c:pt>
                <c:pt idx="36">
                  <c:v>126.50369999999999</c:v>
                </c:pt>
                <c:pt idx="37">
                  <c:v>126.399</c:v>
                </c:pt>
                <c:pt idx="38">
                  <c:v>120.0831</c:v>
                </c:pt>
                <c:pt idx="39">
                  <c:v>119.7223</c:v>
                </c:pt>
                <c:pt idx="40">
                  <c:v>120.8468</c:v>
                </c:pt>
                <c:pt idx="41">
                  <c:v>119.3732</c:v>
                </c:pt>
                <c:pt idx="42">
                  <c:v>119.1345</c:v>
                </c:pt>
                <c:pt idx="43">
                  <c:v>118.6198</c:v>
                </c:pt>
                <c:pt idx="44">
                  <c:v>120.5107</c:v>
                </c:pt>
                <c:pt idx="45">
                  <c:v>118.1631</c:v>
                </c:pt>
                <c:pt idx="46">
                  <c:v>119.6536</c:v>
                </c:pt>
                <c:pt idx="47">
                  <c:v>118.8986</c:v>
                </c:pt>
                <c:pt idx="48">
                  <c:v>124.7638</c:v>
                </c:pt>
                <c:pt idx="49">
                  <c:v>123.2392</c:v>
                </c:pt>
                <c:pt idx="50">
                  <c:v>124.604</c:v>
                </c:pt>
                <c:pt idx="51">
                  <c:v>122.5437</c:v>
                </c:pt>
                <c:pt idx="52">
                  <c:v>129.3776</c:v>
                </c:pt>
                <c:pt idx="53">
                  <c:v>122.242</c:v>
                </c:pt>
                <c:pt idx="54" formatCode="0.00">
                  <c:v>130.86519999999999</c:v>
                </c:pt>
                <c:pt idx="55" formatCode="0.00">
                  <c:v>121.0628</c:v>
                </c:pt>
                <c:pt idx="56" formatCode="0.00">
                  <c:v>120.6767</c:v>
                </c:pt>
                <c:pt idx="57" formatCode="0.00">
                  <c:v>120.0543</c:v>
                </c:pt>
                <c:pt idx="58" formatCode="0.00">
                  <c:v>120.1511</c:v>
                </c:pt>
                <c:pt idx="59" formatCode="0.00">
                  <c:v>130.71860000000001</c:v>
                </c:pt>
                <c:pt idx="60" formatCode="0.00">
                  <c:v>131.0026</c:v>
                </c:pt>
                <c:pt idx="61" formatCode="0.00">
                  <c:v>129.2636</c:v>
                </c:pt>
                <c:pt idx="62" formatCode="0.00">
                  <c:v>130.0874</c:v>
                </c:pt>
                <c:pt idx="63" formatCode="0.00">
                  <c:v>125.69</c:v>
                </c:pt>
                <c:pt idx="64" formatCode="0.00">
                  <c:v>125.7621</c:v>
                </c:pt>
                <c:pt idx="65" formatCode="0.00">
                  <c:v>126.2564</c:v>
                </c:pt>
                <c:pt idx="66" formatCode="0.00">
                  <c:v>127.0142</c:v>
                </c:pt>
                <c:pt idx="67" formatCode="0.00">
                  <c:v>128.0283</c:v>
                </c:pt>
                <c:pt idx="68" formatCode="0.00">
                  <c:v>122.8601</c:v>
                </c:pt>
                <c:pt idx="69" formatCode="0.00">
                  <c:v>124.1587</c:v>
                </c:pt>
                <c:pt idx="70" formatCode="0.00">
                  <c:v>125.72499999999999</c:v>
                </c:pt>
                <c:pt idx="71" formatCode="0.00">
                  <c:v>123.25700000000001</c:v>
                </c:pt>
                <c:pt idx="72" formatCode="0.00">
                  <c:v>127.4619</c:v>
                </c:pt>
                <c:pt idx="73" formatCode="0.00">
                  <c:v>127.48139999999999</c:v>
                </c:pt>
                <c:pt idx="74" formatCode="0.00">
                  <c:v>127.37130000000001</c:v>
                </c:pt>
                <c:pt idx="75" formatCode="0.00">
                  <c:v>127.78149999999999</c:v>
                </c:pt>
                <c:pt idx="76" formatCode="0.00">
                  <c:v>127.10129999999999</c:v>
                </c:pt>
                <c:pt idx="77" formatCode="0.00">
                  <c:v>128.71019999999999</c:v>
                </c:pt>
                <c:pt idx="78" formatCode="0.00">
                  <c:v>128.72919999999999</c:v>
                </c:pt>
                <c:pt idx="79">
                  <c:v>124.00409999999999</c:v>
                </c:pt>
                <c:pt idx="80">
                  <c:v>124.10039999999999</c:v>
                </c:pt>
                <c:pt idx="81">
                  <c:v>124.1996</c:v>
                </c:pt>
                <c:pt idx="82">
                  <c:v>125.17919999999999</c:v>
                </c:pt>
                <c:pt idx="83">
                  <c:v>123.8027</c:v>
                </c:pt>
                <c:pt idx="84">
                  <c:v>125.5234</c:v>
                </c:pt>
                <c:pt idx="85">
                  <c:v>125.38160000000001</c:v>
                </c:pt>
                <c:pt idx="86">
                  <c:v>127.4442</c:v>
                </c:pt>
                <c:pt idx="87">
                  <c:v>127.27200000000001</c:v>
                </c:pt>
                <c:pt idx="88">
                  <c:v>127.6144</c:v>
                </c:pt>
                <c:pt idx="89">
                  <c:v>128.0017</c:v>
                </c:pt>
                <c:pt idx="90">
                  <c:v>125.1942</c:v>
                </c:pt>
                <c:pt idx="91">
                  <c:v>124.5265</c:v>
                </c:pt>
                <c:pt idx="92">
                  <c:v>122.4451</c:v>
                </c:pt>
                <c:pt idx="93">
                  <c:v>121.125</c:v>
                </c:pt>
                <c:pt idx="94">
                  <c:v>122.6657</c:v>
                </c:pt>
                <c:pt idx="95">
                  <c:v>122.20869999999999</c:v>
                </c:pt>
                <c:pt idx="96">
                  <c:v>123.1215</c:v>
                </c:pt>
                <c:pt idx="97">
                  <c:v>123.87649999999999</c:v>
                </c:pt>
                <c:pt idx="98">
                  <c:v>125.6032</c:v>
                </c:pt>
                <c:pt idx="99">
                  <c:v>123.84480000000001</c:v>
                </c:pt>
                <c:pt idx="100">
                  <c:v>126.24760000000001</c:v>
                </c:pt>
                <c:pt idx="101">
                  <c:v>122.9328</c:v>
                </c:pt>
                <c:pt idx="102">
                  <c:v>122.569</c:v>
                </c:pt>
                <c:pt idx="103">
                  <c:v>122.8212</c:v>
                </c:pt>
                <c:pt idx="104">
                  <c:v>124.07859999999999</c:v>
                </c:pt>
                <c:pt idx="105">
                  <c:v>125.1718</c:v>
                </c:pt>
                <c:pt idx="106">
                  <c:v>125.27370000000001</c:v>
                </c:pt>
                <c:pt idx="107">
                  <c:v>125.167</c:v>
                </c:pt>
                <c:pt idx="108">
                  <c:v>127.3792</c:v>
                </c:pt>
                <c:pt idx="109">
                  <c:v>125.9679</c:v>
                </c:pt>
                <c:pt idx="110">
                  <c:v>125.624</c:v>
                </c:pt>
                <c:pt idx="111">
                  <c:v>126.28270000000001</c:v>
                </c:pt>
                <c:pt idx="112">
                  <c:v>126.1473</c:v>
                </c:pt>
                <c:pt idx="113">
                  <c:v>124.8647</c:v>
                </c:pt>
                <c:pt idx="114">
                  <c:v>125.88420000000001</c:v>
                </c:pt>
                <c:pt idx="115">
                  <c:v>126.185</c:v>
                </c:pt>
                <c:pt idx="116">
                  <c:v>126.38120000000001</c:v>
                </c:pt>
                <c:pt idx="117">
                  <c:v>126.1164</c:v>
                </c:pt>
                <c:pt idx="118">
                  <c:v>121.5986</c:v>
                </c:pt>
                <c:pt idx="119">
                  <c:v>122.2221</c:v>
                </c:pt>
                <c:pt idx="120">
                  <c:v>125.42449999999999</c:v>
                </c:pt>
                <c:pt idx="121">
                  <c:v>124.3117</c:v>
                </c:pt>
                <c:pt idx="122">
                  <c:v>123.78230000000001</c:v>
                </c:pt>
                <c:pt idx="123">
                  <c:v>122.5763</c:v>
                </c:pt>
                <c:pt idx="124">
                  <c:v>125.99630000000001</c:v>
                </c:pt>
                <c:pt idx="125">
                  <c:v>124.5711</c:v>
                </c:pt>
                <c:pt idx="126">
                  <c:v>125.2975</c:v>
                </c:pt>
                <c:pt idx="127">
                  <c:v>125.95820000000001</c:v>
                </c:pt>
                <c:pt idx="128">
                  <c:v>124.60339999999999</c:v>
                </c:pt>
                <c:pt idx="129">
                  <c:v>125.84350000000001</c:v>
                </c:pt>
                <c:pt idx="130">
                  <c:v>120.84829999999999</c:v>
                </c:pt>
                <c:pt idx="131">
                  <c:v>121.4308</c:v>
                </c:pt>
                <c:pt idx="132">
                  <c:v>121.8107</c:v>
                </c:pt>
                <c:pt idx="133" formatCode="0.00">
                  <c:v>127.9624</c:v>
                </c:pt>
                <c:pt idx="134" formatCode="0.00">
                  <c:v>126.8956</c:v>
                </c:pt>
                <c:pt idx="135" formatCode="0.00">
                  <c:v>124.526</c:v>
                </c:pt>
                <c:pt idx="136" formatCode="0.00">
                  <c:v>124.11499999999999</c:v>
                </c:pt>
                <c:pt idx="137" formatCode="0.00">
                  <c:v>123.9854</c:v>
                </c:pt>
                <c:pt idx="138" formatCode="0.00">
                  <c:v>123.831</c:v>
                </c:pt>
                <c:pt idx="139" formatCode="0.00">
                  <c:v>122.3481</c:v>
                </c:pt>
                <c:pt idx="140" formatCode="0.00">
                  <c:v>121.94889999999999</c:v>
                </c:pt>
              </c:numCache>
            </c:numRef>
          </c:yVal>
        </c:ser>
        <c:axId val="67687168"/>
        <c:axId val="67689088"/>
      </c:scatterChart>
      <c:valAx>
        <c:axId val="6768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Boat Count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7689088"/>
        <c:crosses val="autoZero"/>
        <c:crossBetween val="midCat"/>
      </c:valAx>
      <c:valAx>
        <c:axId val="67689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Background Noise (dB re 1 microPa)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768716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314325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114300</xdr:rowOff>
    </xdr:from>
    <xdr:to>
      <xdr:col>7</xdr:col>
      <xdr:colOff>304800</xdr:colOff>
      <xdr:row>44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28575</xdr:rowOff>
    </xdr:from>
    <xdr:to>
      <xdr:col>7</xdr:col>
      <xdr:colOff>304800</xdr:colOff>
      <xdr:row>58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7</xdr:col>
      <xdr:colOff>304800</xdr:colOff>
      <xdr:row>73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2"/>
  <sheetViews>
    <sheetView workbookViewId="0">
      <selection activeCell="B28" sqref="B28"/>
    </sheetView>
  </sheetViews>
  <sheetFormatPr defaultRowHeight="15"/>
  <cols>
    <col min="16" max="16" width="15.85546875" customWidth="1"/>
  </cols>
  <sheetData>
    <row r="1" spans="1:17">
      <c r="A1" t="s">
        <v>12</v>
      </c>
      <c r="B1" t="s">
        <v>0</v>
      </c>
      <c r="C1" t="s">
        <v>10</v>
      </c>
      <c r="D1" t="s">
        <v>11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L1">
        <v>8</v>
      </c>
      <c r="M1">
        <v>122.7002</v>
      </c>
      <c r="N1" s="2"/>
      <c r="P1" t="s">
        <v>67</v>
      </c>
      <c r="Q1" s="1" t="s">
        <v>9</v>
      </c>
    </row>
    <row r="2" spans="1:17">
      <c r="A2" t="s">
        <v>13</v>
      </c>
      <c r="B2">
        <v>518</v>
      </c>
      <c r="C2" t="s">
        <v>1</v>
      </c>
      <c r="D2">
        <v>8</v>
      </c>
      <c r="E2">
        <v>1.0690200000000001</v>
      </c>
      <c r="F2">
        <f>3302-2021</f>
        <v>1281</v>
      </c>
      <c r="G2">
        <v>3</v>
      </c>
      <c r="H2">
        <v>142.89320000000001</v>
      </c>
      <c r="I2">
        <v>122.7002</v>
      </c>
      <c r="L2">
        <v>8</v>
      </c>
      <c r="M2">
        <v>125.5823</v>
      </c>
      <c r="P2">
        <f>LOG10(D2)</f>
        <v>0.90308998699194354</v>
      </c>
      <c r="Q2">
        <v>122.7002</v>
      </c>
    </row>
    <row r="3" spans="1:17">
      <c r="A3" t="s">
        <v>13</v>
      </c>
      <c r="B3">
        <v>518</v>
      </c>
      <c r="C3" t="s">
        <v>1</v>
      </c>
      <c r="D3">
        <v>8</v>
      </c>
      <c r="E3">
        <v>1.153327</v>
      </c>
      <c r="F3">
        <f>3275-2196</f>
        <v>1079</v>
      </c>
      <c r="G3">
        <v>8</v>
      </c>
      <c r="H3">
        <v>199.1199</v>
      </c>
      <c r="I3">
        <v>125.5823</v>
      </c>
      <c r="L3">
        <v>8</v>
      </c>
      <c r="M3">
        <v>126.9569</v>
      </c>
      <c r="P3">
        <f t="shared" ref="P3:P66" si="0">LOG10(D3)</f>
        <v>0.90308998699194354</v>
      </c>
      <c r="Q3">
        <v>125.5823</v>
      </c>
    </row>
    <row r="4" spans="1:17">
      <c r="A4" t="s">
        <v>13</v>
      </c>
      <c r="B4">
        <v>518</v>
      </c>
      <c r="C4" t="s">
        <v>1</v>
      </c>
      <c r="D4">
        <v>8</v>
      </c>
      <c r="E4">
        <v>1.214029</v>
      </c>
      <c r="F4">
        <f>3146-2105</f>
        <v>1041</v>
      </c>
      <c r="G4">
        <v>-1</v>
      </c>
      <c r="H4">
        <v>233.2612</v>
      </c>
      <c r="I4">
        <v>126.9569</v>
      </c>
      <c r="L4">
        <v>8</v>
      </c>
      <c r="M4">
        <v>127.4041</v>
      </c>
      <c r="P4">
        <f t="shared" si="0"/>
        <v>0.90308998699194354</v>
      </c>
      <c r="Q4">
        <v>126.9569</v>
      </c>
    </row>
    <row r="5" spans="1:17">
      <c r="A5" t="s">
        <v>13</v>
      </c>
      <c r="B5">
        <v>518</v>
      </c>
      <c r="C5" t="s">
        <v>1</v>
      </c>
      <c r="D5">
        <v>8</v>
      </c>
      <c r="E5">
        <v>1.0589029999999999</v>
      </c>
      <c r="F5">
        <f>3143-2101</f>
        <v>1042</v>
      </c>
      <c r="G5">
        <v>4</v>
      </c>
      <c r="H5">
        <v>245.5881</v>
      </c>
      <c r="I5">
        <v>127.4041</v>
      </c>
      <c r="L5">
        <v>8</v>
      </c>
      <c r="M5">
        <v>126.30629999999999</v>
      </c>
      <c r="O5" s="1"/>
      <c r="P5">
        <f t="shared" si="0"/>
        <v>0.90308998699194354</v>
      </c>
      <c r="Q5">
        <v>127.4041</v>
      </c>
    </row>
    <row r="6" spans="1:17">
      <c r="A6" t="s">
        <v>13</v>
      </c>
      <c r="B6">
        <v>518</v>
      </c>
      <c r="C6" t="s">
        <v>1</v>
      </c>
      <c r="D6">
        <v>8</v>
      </c>
      <c r="E6">
        <v>0.85993699999999995</v>
      </c>
      <c r="F6">
        <f>3223-2131</f>
        <v>1092</v>
      </c>
      <c r="G6">
        <f>36-27</f>
        <v>9</v>
      </c>
      <c r="H6">
        <v>216.42959999999999</v>
      </c>
      <c r="I6">
        <v>126.30629999999999</v>
      </c>
      <c r="L6">
        <v>8</v>
      </c>
      <c r="M6">
        <v>128.29949999999999</v>
      </c>
      <c r="O6" s="1"/>
      <c r="P6">
        <f t="shared" si="0"/>
        <v>0.90308998699194354</v>
      </c>
      <c r="Q6">
        <v>126.30629999999999</v>
      </c>
    </row>
    <row r="7" spans="1:17">
      <c r="A7" t="s">
        <v>13</v>
      </c>
      <c r="B7">
        <v>518</v>
      </c>
      <c r="C7" t="s">
        <v>1</v>
      </c>
      <c r="D7">
        <v>8</v>
      </c>
      <c r="E7">
        <v>1.1162319999999999</v>
      </c>
      <c r="F7">
        <f>3200-2133</f>
        <v>1067</v>
      </c>
      <c r="G7">
        <f>41-34</f>
        <v>7</v>
      </c>
      <c r="H7">
        <v>272.25580000000002</v>
      </c>
      <c r="I7">
        <v>128.29949999999999</v>
      </c>
      <c r="L7">
        <v>8</v>
      </c>
      <c r="M7">
        <v>125.61060000000001</v>
      </c>
      <c r="O7" s="1"/>
      <c r="P7">
        <f t="shared" si="0"/>
        <v>0.90308998699194354</v>
      </c>
      <c r="Q7">
        <v>128.29949999999999</v>
      </c>
    </row>
    <row r="8" spans="1:17">
      <c r="A8" t="s">
        <v>13</v>
      </c>
      <c r="B8">
        <v>518</v>
      </c>
      <c r="C8" t="s">
        <v>1</v>
      </c>
      <c r="D8">
        <v>8</v>
      </c>
      <c r="E8">
        <v>0.99482899999999996</v>
      </c>
      <c r="F8">
        <f>3228-2177</f>
        <v>1051</v>
      </c>
      <c r="G8">
        <v>-3</v>
      </c>
      <c r="H8">
        <v>199.7705</v>
      </c>
      <c r="I8">
        <v>125.61060000000001</v>
      </c>
      <c r="L8">
        <v>8</v>
      </c>
      <c r="M8">
        <v>126.1934</v>
      </c>
      <c r="O8" s="1"/>
      <c r="P8">
        <f t="shared" si="0"/>
        <v>0.90308998699194354</v>
      </c>
      <c r="Q8">
        <v>125.61060000000001</v>
      </c>
    </row>
    <row r="9" spans="1:17">
      <c r="A9" t="s">
        <v>13</v>
      </c>
      <c r="B9">
        <v>518</v>
      </c>
      <c r="C9" t="s">
        <v>1</v>
      </c>
      <c r="D9">
        <v>8</v>
      </c>
      <c r="E9">
        <v>0.96110600000000002</v>
      </c>
      <c r="F9">
        <f>3238-2157</f>
        <v>1081</v>
      </c>
      <c r="G9">
        <v>-3</v>
      </c>
      <c r="H9">
        <v>213.63409999999999</v>
      </c>
      <c r="I9">
        <v>126.1934</v>
      </c>
      <c r="L9">
        <v>8</v>
      </c>
      <c r="M9">
        <v>126.4278</v>
      </c>
      <c r="O9" s="1"/>
      <c r="P9">
        <f t="shared" si="0"/>
        <v>0.90308998699194354</v>
      </c>
      <c r="Q9">
        <v>126.1934</v>
      </c>
    </row>
    <row r="10" spans="1:17">
      <c r="A10" t="s">
        <v>13</v>
      </c>
      <c r="B10">
        <v>518</v>
      </c>
      <c r="C10" t="s">
        <v>1</v>
      </c>
      <c r="D10">
        <v>8</v>
      </c>
      <c r="E10">
        <v>1.079137</v>
      </c>
      <c r="F10">
        <f>3197-2116</f>
        <v>1081</v>
      </c>
      <c r="G10">
        <v>4</v>
      </c>
      <c r="H10">
        <v>219.4776</v>
      </c>
      <c r="I10">
        <v>126.4278</v>
      </c>
      <c r="L10">
        <v>8</v>
      </c>
      <c r="M10">
        <v>128.21360000000001</v>
      </c>
      <c r="O10" s="2"/>
      <c r="P10">
        <f t="shared" si="0"/>
        <v>0.90308998699194354</v>
      </c>
      <c r="Q10">
        <v>126.4278</v>
      </c>
    </row>
    <row r="11" spans="1:17">
      <c r="A11" t="s">
        <v>13</v>
      </c>
      <c r="B11">
        <v>518</v>
      </c>
      <c r="C11" t="s">
        <v>1</v>
      </c>
      <c r="D11">
        <v>8</v>
      </c>
      <c r="E11">
        <v>1.237635</v>
      </c>
      <c r="F11">
        <f>3143-2066</f>
        <v>1077</v>
      </c>
      <c r="G11">
        <v>5</v>
      </c>
      <c r="H11">
        <v>269.57530000000003</v>
      </c>
      <c r="I11">
        <v>128.21360000000001</v>
      </c>
      <c r="L11">
        <v>8</v>
      </c>
      <c r="M11">
        <v>127.9479</v>
      </c>
      <c r="O11" s="1"/>
      <c r="P11">
        <f t="shared" si="0"/>
        <v>0.90308998699194354</v>
      </c>
      <c r="Q11">
        <v>128.21360000000001</v>
      </c>
    </row>
    <row r="12" spans="1:17">
      <c r="A12" t="s">
        <v>13</v>
      </c>
      <c r="B12">
        <v>518</v>
      </c>
      <c r="C12" t="s">
        <v>1</v>
      </c>
      <c r="D12">
        <v>8</v>
      </c>
      <c r="E12">
        <v>0.91052200000000005</v>
      </c>
      <c r="F12">
        <f>3251-2284</f>
        <v>967</v>
      </c>
      <c r="G12">
        <v>-3</v>
      </c>
      <c r="H12">
        <v>261.45400000000001</v>
      </c>
      <c r="I12">
        <v>127.9479</v>
      </c>
      <c r="L12">
        <v>8</v>
      </c>
      <c r="M12">
        <v>124.1948</v>
      </c>
      <c r="O12" s="1"/>
      <c r="P12">
        <f t="shared" si="0"/>
        <v>0.90308998699194354</v>
      </c>
      <c r="Q12">
        <v>127.9479</v>
      </c>
    </row>
    <row r="13" spans="1:17">
      <c r="A13" t="s">
        <v>13</v>
      </c>
      <c r="B13">
        <v>518</v>
      </c>
      <c r="C13" t="s">
        <v>1</v>
      </c>
      <c r="D13">
        <v>8</v>
      </c>
      <c r="E13">
        <v>1.136466</v>
      </c>
      <c r="F13">
        <f>3186-2116</f>
        <v>1070</v>
      </c>
      <c r="G13">
        <f>42-36</f>
        <v>6</v>
      </c>
      <c r="H13">
        <v>169.72319999999999</v>
      </c>
      <c r="I13">
        <v>124.1948</v>
      </c>
      <c r="L13">
        <v>8</v>
      </c>
      <c r="M13">
        <v>124.9161</v>
      </c>
      <c r="O13" s="1"/>
      <c r="P13">
        <f t="shared" si="0"/>
        <v>0.90308998699194354</v>
      </c>
      <c r="Q13">
        <v>124.1948</v>
      </c>
    </row>
    <row r="14" spans="1:17">
      <c r="A14" t="s">
        <v>13</v>
      </c>
      <c r="B14">
        <v>518</v>
      </c>
      <c r="C14" t="s">
        <v>1</v>
      </c>
      <c r="D14">
        <v>8</v>
      </c>
      <c r="E14">
        <v>1.0993710000000001</v>
      </c>
      <c r="F14">
        <f>3188-2144</f>
        <v>1044</v>
      </c>
      <c r="G14">
        <v>-3</v>
      </c>
      <c r="H14">
        <v>184.41849999999999</v>
      </c>
      <c r="I14">
        <v>124.9161</v>
      </c>
      <c r="L14">
        <v>8</v>
      </c>
      <c r="M14">
        <v>125.164</v>
      </c>
      <c r="O14" s="1"/>
      <c r="P14">
        <f t="shared" si="0"/>
        <v>0.90308998699194354</v>
      </c>
      <c r="Q14">
        <v>124.9161</v>
      </c>
    </row>
    <row r="15" spans="1:17">
      <c r="A15" t="s">
        <v>13</v>
      </c>
      <c r="B15">
        <v>518</v>
      </c>
      <c r="C15" t="s">
        <v>1</v>
      </c>
      <c r="D15">
        <v>8</v>
      </c>
      <c r="E15">
        <v>0.85319199999999995</v>
      </c>
      <c r="F15">
        <f>3072-2125</f>
        <v>947</v>
      </c>
      <c r="G15">
        <v>0</v>
      </c>
      <c r="H15">
        <v>189.75810000000001</v>
      </c>
      <c r="I15">
        <v>125.164</v>
      </c>
      <c r="L15">
        <v>8</v>
      </c>
      <c r="M15">
        <v>123.9641</v>
      </c>
      <c r="O15" s="1"/>
      <c r="P15">
        <f t="shared" si="0"/>
        <v>0.90308998699194354</v>
      </c>
      <c r="Q15">
        <v>125.164</v>
      </c>
    </row>
    <row r="16" spans="1:17">
      <c r="A16" t="s">
        <v>13</v>
      </c>
      <c r="B16">
        <v>518</v>
      </c>
      <c r="C16" t="s">
        <v>1</v>
      </c>
      <c r="D16">
        <v>8</v>
      </c>
      <c r="E16">
        <v>0.89366000000000001</v>
      </c>
      <c r="F16">
        <f>3258-2140</f>
        <v>1118</v>
      </c>
      <c r="G16">
        <v>3</v>
      </c>
      <c r="H16">
        <v>165.2747</v>
      </c>
      <c r="I16">
        <v>123.9641</v>
      </c>
      <c r="L16">
        <v>12</v>
      </c>
      <c r="M16">
        <v>124.19970000000001</v>
      </c>
      <c r="O16" s="1"/>
      <c r="P16">
        <f t="shared" si="0"/>
        <v>0.90308998699194354</v>
      </c>
      <c r="Q16">
        <v>123.9641</v>
      </c>
    </row>
    <row r="17" spans="1:17">
      <c r="A17" t="s">
        <v>13</v>
      </c>
      <c r="B17">
        <v>518</v>
      </c>
      <c r="C17" t="s">
        <v>1</v>
      </c>
      <c r="D17">
        <v>12</v>
      </c>
      <c r="E17">
        <v>1.02518</v>
      </c>
      <c r="F17">
        <f>3157-2118</f>
        <v>1039</v>
      </c>
      <c r="G17">
        <v>-3</v>
      </c>
      <c r="H17">
        <v>169.81880000000001</v>
      </c>
      <c r="I17">
        <v>124.19970000000001</v>
      </c>
      <c r="L17">
        <v>12</v>
      </c>
      <c r="M17">
        <v>121.34910000000001</v>
      </c>
      <c r="O17" s="1"/>
      <c r="P17">
        <f t="shared" si="0"/>
        <v>1.0791812460476249</v>
      </c>
      <c r="Q17">
        <v>124.19970000000001</v>
      </c>
    </row>
    <row r="18" spans="1:17">
      <c r="A18" t="s">
        <v>13</v>
      </c>
      <c r="B18">
        <v>518</v>
      </c>
      <c r="C18" t="s">
        <v>1</v>
      </c>
      <c r="D18">
        <v>12</v>
      </c>
      <c r="E18">
        <v>1.0116909999999999</v>
      </c>
      <c r="F18">
        <f>3255-2165</f>
        <v>1090</v>
      </c>
      <c r="G18">
        <v>5</v>
      </c>
      <c r="H18">
        <v>122.3074</v>
      </c>
      <c r="I18">
        <v>121.34910000000001</v>
      </c>
      <c r="L18">
        <v>9</v>
      </c>
      <c r="M18">
        <v>125.6327</v>
      </c>
      <c r="O18" s="1"/>
      <c r="P18">
        <f t="shared" si="0"/>
        <v>1.0791812460476249</v>
      </c>
      <c r="Q18">
        <v>121.34910000000001</v>
      </c>
    </row>
    <row r="19" spans="1:17">
      <c r="A19" t="s">
        <v>13</v>
      </c>
      <c r="B19">
        <v>518</v>
      </c>
      <c r="C19" t="s">
        <v>1</v>
      </c>
      <c r="D19">
        <v>9</v>
      </c>
      <c r="E19">
        <v>1.048786</v>
      </c>
      <c r="F19">
        <f>3231-2257</f>
        <v>974</v>
      </c>
      <c r="G19">
        <f>33-41</f>
        <v>-8</v>
      </c>
      <c r="H19">
        <v>200.27869999999999</v>
      </c>
      <c r="I19">
        <v>125.6327</v>
      </c>
      <c r="L19">
        <v>4</v>
      </c>
      <c r="M19">
        <v>122.7347</v>
      </c>
      <c r="O19" s="1"/>
      <c r="P19">
        <f t="shared" si="0"/>
        <v>0.95424250943932487</v>
      </c>
      <c r="Q19">
        <v>125.6327</v>
      </c>
    </row>
    <row r="20" spans="1:17">
      <c r="A20" t="s">
        <v>13</v>
      </c>
      <c r="B20">
        <v>518</v>
      </c>
      <c r="C20" t="s">
        <v>1</v>
      </c>
      <c r="D20">
        <v>4</v>
      </c>
      <c r="E20">
        <v>1.0757639999999999</v>
      </c>
      <c r="F20">
        <f>3175-2108</f>
        <v>1067</v>
      </c>
      <c r="G20">
        <v>-1</v>
      </c>
      <c r="H20">
        <v>143.46129999999999</v>
      </c>
      <c r="I20">
        <v>122.7347</v>
      </c>
      <c r="L20">
        <v>2</v>
      </c>
      <c r="M20">
        <v>123.63890000000001</v>
      </c>
      <c r="O20" s="1"/>
      <c r="P20">
        <f t="shared" si="0"/>
        <v>0.6020599913279624</v>
      </c>
      <c r="Q20">
        <v>122.7347</v>
      </c>
    </row>
    <row r="21" spans="1:17">
      <c r="A21" t="s">
        <v>13</v>
      </c>
      <c r="B21">
        <v>525</v>
      </c>
      <c r="C21" t="s">
        <v>1</v>
      </c>
      <c r="D21">
        <v>2</v>
      </c>
      <c r="E21" s="1">
        <v>1.0690200000000001</v>
      </c>
      <c r="F21" s="2">
        <f>3117-2081</f>
        <v>1036</v>
      </c>
      <c r="G21" s="1">
        <v>-5</v>
      </c>
      <c r="H21">
        <v>159.20150000000001</v>
      </c>
      <c r="I21">
        <v>123.63890000000001</v>
      </c>
      <c r="L21">
        <v>2</v>
      </c>
      <c r="M21">
        <v>119.4513</v>
      </c>
      <c r="O21" s="1"/>
      <c r="P21">
        <f t="shared" si="0"/>
        <v>0.3010299956639812</v>
      </c>
      <c r="Q21">
        <v>123.63890000000001</v>
      </c>
    </row>
    <row r="22" spans="1:17">
      <c r="A22" t="s">
        <v>13</v>
      </c>
      <c r="B22">
        <v>515</v>
      </c>
      <c r="C22" t="s">
        <v>2</v>
      </c>
      <c r="D22">
        <v>2</v>
      </c>
      <c r="E22" s="1">
        <v>1.008318</v>
      </c>
      <c r="F22" s="2">
        <f>3167-2127</f>
        <v>1040</v>
      </c>
      <c r="G22" s="1">
        <f>42-48</f>
        <v>-6</v>
      </c>
      <c r="H22">
        <v>98.302199999999999</v>
      </c>
      <c r="I22">
        <v>119.4513</v>
      </c>
      <c r="L22">
        <v>2</v>
      </c>
      <c r="M22">
        <v>124.56950000000001</v>
      </c>
      <c r="O22" s="1"/>
      <c r="P22">
        <f t="shared" si="0"/>
        <v>0.3010299956639812</v>
      </c>
      <c r="Q22">
        <v>119.4513</v>
      </c>
    </row>
    <row r="23" spans="1:17">
      <c r="A23" t="s">
        <v>13</v>
      </c>
      <c r="B23">
        <v>515</v>
      </c>
      <c r="C23" t="s">
        <v>2</v>
      </c>
      <c r="D23">
        <v>2</v>
      </c>
      <c r="E23">
        <v>0.92401100000000003</v>
      </c>
      <c r="F23">
        <f>3307-2194</f>
        <v>1113</v>
      </c>
      <c r="G23" s="4">
        <f>44-48</f>
        <v>-4</v>
      </c>
      <c r="H23">
        <v>177.20490000000001</v>
      </c>
      <c r="I23">
        <v>124.56950000000001</v>
      </c>
      <c r="L23">
        <v>2</v>
      </c>
      <c r="M23">
        <v>120.4209</v>
      </c>
      <c r="O23" s="1"/>
      <c r="P23">
        <f t="shared" si="0"/>
        <v>0.3010299956639812</v>
      </c>
      <c r="Q23">
        <v>124.56950000000001</v>
      </c>
    </row>
    <row r="24" spans="1:17">
      <c r="A24" t="s">
        <v>13</v>
      </c>
      <c r="B24">
        <v>515</v>
      </c>
      <c r="C24" t="s">
        <v>2</v>
      </c>
      <c r="D24">
        <v>2</v>
      </c>
      <c r="E24">
        <v>0.90040500000000001</v>
      </c>
      <c r="F24">
        <f>3161-2145</f>
        <v>1016</v>
      </c>
      <c r="G24" s="4">
        <f>41-39</f>
        <v>2</v>
      </c>
      <c r="H24">
        <v>109.9115</v>
      </c>
      <c r="I24">
        <v>120.4209</v>
      </c>
      <c r="L24">
        <v>2</v>
      </c>
      <c r="M24">
        <v>124.4093</v>
      </c>
      <c r="O24" s="1"/>
      <c r="P24">
        <f t="shared" si="0"/>
        <v>0.3010299956639812</v>
      </c>
      <c r="Q24">
        <v>120.4209</v>
      </c>
    </row>
    <row r="25" spans="1:17">
      <c r="A25" t="s">
        <v>13</v>
      </c>
      <c r="B25">
        <v>515</v>
      </c>
      <c r="C25" t="s">
        <v>2</v>
      </c>
      <c r="D25">
        <v>2</v>
      </c>
      <c r="E25">
        <v>0.91052200000000005</v>
      </c>
      <c r="F25">
        <f>3228-2193</f>
        <v>1035</v>
      </c>
      <c r="G25" s="4">
        <f>44-43</f>
        <v>1</v>
      </c>
      <c r="H25">
        <v>173.9667</v>
      </c>
      <c r="I25">
        <v>124.4093</v>
      </c>
      <c r="L25">
        <v>2</v>
      </c>
      <c r="M25">
        <v>124.3347</v>
      </c>
      <c r="O25" s="1"/>
      <c r="P25">
        <f t="shared" si="0"/>
        <v>0.3010299956639812</v>
      </c>
      <c r="Q25">
        <v>124.4093</v>
      </c>
    </row>
    <row r="26" spans="1:17">
      <c r="A26" t="s">
        <v>13</v>
      </c>
      <c r="B26">
        <v>515</v>
      </c>
      <c r="C26" t="s">
        <v>2</v>
      </c>
      <c r="D26">
        <v>2</v>
      </c>
      <c r="E26" s="1">
        <v>0.97122299999999995</v>
      </c>
      <c r="F26" s="2">
        <f>3217-2166</f>
        <v>1051</v>
      </c>
      <c r="G26" s="1">
        <v>3</v>
      </c>
      <c r="H26">
        <v>172.47810000000001</v>
      </c>
      <c r="I26">
        <v>124.3347</v>
      </c>
      <c r="L26">
        <v>2</v>
      </c>
      <c r="M26">
        <v>124.14409999999999</v>
      </c>
      <c r="O26" s="1"/>
      <c r="P26">
        <f t="shared" si="0"/>
        <v>0.3010299956639812</v>
      </c>
      <c r="Q26">
        <v>124.3347</v>
      </c>
    </row>
    <row r="27" spans="1:17">
      <c r="A27" t="s">
        <v>13</v>
      </c>
      <c r="B27">
        <v>515</v>
      </c>
      <c r="C27" t="s">
        <v>2</v>
      </c>
      <c r="D27">
        <v>2</v>
      </c>
      <c r="E27" s="1">
        <v>0.86330899999999999</v>
      </c>
      <c r="F27" s="2">
        <f>3168-2087</f>
        <v>1081</v>
      </c>
      <c r="G27" s="1">
        <v>-1</v>
      </c>
      <c r="H27">
        <v>168.7346</v>
      </c>
      <c r="I27">
        <v>124.14409999999999</v>
      </c>
      <c r="L27">
        <v>2</v>
      </c>
      <c r="M27">
        <v>124.2364</v>
      </c>
      <c r="O27" s="1"/>
      <c r="P27">
        <f t="shared" si="0"/>
        <v>0.3010299956639812</v>
      </c>
      <c r="Q27">
        <v>124.14409999999999</v>
      </c>
    </row>
    <row r="28" spans="1:17">
      <c r="A28" t="s">
        <v>13</v>
      </c>
      <c r="B28">
        <v>515</v>
      </c>
      <c r="C28" t="s">
        <v>2</v>
      </c>
      <c r="D28">
        <v>2</v>
      </c>
      <c r="E28" s="1">
        <v>1.001754</v>
      </c>
      <c r="F28" s="2">
        <f>3159-2124</f>
        <v>1035</v>
      </c>
      <c r="G28" s="1">
        <v>4</v>
      </c>
      <c r="H28">
        <v>170.53800000000001</v>
      </c>
      <c r="I28">
        <v>124.2364</v>
      </c>
      <c r="L28">
        <v>2</v>
      </c>
      <c r="M28">
        <v>124.53440000000001</v>
      </c>
      <c r="P28">
        <f t="shared" si="0"/>
        <v>0.3010299956639812</v>
      </c>
      <c r="Q28">
        <v>124.2364</v>
      </c>
    </row>
    <row r="29" spans="1:17">
      <c r="A29" t="s">
        <v>13</v>
      </c>
      <c r="B29">
        <v>515</v>
      </c>
      <c r="C29" t="s">
        <v>2</v>
      </c>
      <c r="D29">
        <v>2</v>
      </c>
      <c r="E29" s="1">
        <v>0.930755</v>
      </c>
      <c r="F29" s="2">
        <f>3315-2369</f>
        <v>946</v>
      </c>
      <c r="G29" s="1">
        <v>3</v>
      </c>
      <c r="H29">
        <v>176.48939999999999</v>
      </c>
      <c r="I29">
        <v>124.53440000000001</v>
      </c>
      <c r="L29">
        <v>2</v>
      </c>
      <c r="M29">
        <v>125.46729999999999</v>
      </c>
      <c r="P29">
        <f t="shared" si="0"/>
        <v>0.3010299956639812</v>
      </c>
      <c r="Q29">
        <v>124.53440000000001</v>
      </c>
    </row>
    <row r="30" spans="1:17">
      <c r="A30" t="s">
        <v>13</v>
      </c>
      <c r="B30">
        <v>515</v>
      </c>
      <c r="C30" t="s">
        <v>2</v>
      </c>
      <c r="D30">
        <v>2</v>
      </c>
      <c r="E30" s="1">
        <v>0.9375</v>
      </c>
      <c r="F30" s="2">
        <f>3245-2181</f>
        <v>1064</v>
      </c>
      <c r="G30" s="1">
        <v>3</v>
      </c>
      <c r="H30">
        <v>196.5018</v>
      </c>
      <c r="I30">
        <v>125.46729999999999</v>
      </c>
      <c r="L30">
        <v>2</v>
      </c>
      <c r="M30">
        <v>124.2375</v>
      </c>
      <c r="P30">
        <f t="shared" si="0"/>
        <v>0.3010299956639812</v>
      </c>
      <c r="Q30">
        <v>125.46729999999999</v>
      </c>
    </row>
    <row r="31" spans="1:17">
      <c r="A31" t="s">
        <v>13</v>
      </c>
      <c r="B31">
        <v>515</v>
      </c>
      <c r="C31" t="s">
        <v>2</v>
      </c>
      <c r="D31">
        <v>2</v>
      </c>
      <c r="E31" s="1">
        <v>0.83633100000000005</v>
      </c>
      <c r="F31" s="2">
        <f>3135-2114</f>
        <v>1021</v>
      </c>
      <c r="G31" s="1">
        <v>-2</v>
      </c>
      <c r="H31">
        <v>170.55850000000001</v>
      </c>
      <c r="I31">
        <v>124.2375</v>
      </c>
      <c r="L31">
        <v>2</v>
      </c>
      <c r="M31">
        <v>125.43259999999999</v>
      </c>
      <c r="P31">
        <f t="shared" si="0"/>
        <v>0.3010299956639812</v>
      </c>
      <c r="Q31">
        <v>124.2375</v>
      </c>
    </row>
    <row r="32" spans="1:17">
      <c r="A32" t="s">
        <v>13</v>
      </c>
      <c r="B32">
        <v>515</v>
      </c>
      <c r="C32" t="s">
        <v>2</v>
      </c>
      <c r="D32">
        <v>2</v>
      </c>
      <c r="E32" s="1">
        <v>1.0319240000000001</v>
      </c>
      <c r="F32" s="2">
        <f>3228-2110</f>
        <v>1118</v>
      </c>
      <c r="G32" s="1">
        <v>-2</v>
      </c>
      <c r="H32">
        <v>195.71850000000001</v>
      </c>
      <c r="I32">
        <v>125.43259999999999</v>
      </c>
      <c r="L32">
        <v>2</v>
      </c>
      <c r="M32">
        <v>125.6212</v>
      </c>
      <c r="P32">
        <f t="shared" si="0"/>
        <v>0.3010299956639812</v>
      </c>
      <c r="Q32">
        <v>125.43259999999999</v>
      </c>
    </row>
    <row r="33" spans="1:17">
      <c r="A33" t="s">
        <v>13</v>
      </c>
      <c r="B33">
        <v>515</v>
      </c>
      <c r="C33" t="s">
        <v>2</v>
      </c>
      <c r="D33">
        <v>2</v>
      </c>
      <c r="E33" s="1">
        <v>0.76214000000000004</v>
      </c>
      <c r="F33" s="2">
        <f>3168-2135</f>
        <v>1033</v>
      </c>
      <c r="G33" s="1">
        <v>0</v>
      </c>
      <c r="H33">
        <v>200.01419999999999</v>
      </c>
      <c r="I33">
        <v>125.6212</v>
      </c>
      <c r="L33">
        <v>3</v>
      </c>
      <c r="M33">
        <v>125.3848</v>
      </c>
      <c r="P33">
        <f t="shared" si="0"/>
        <v>0.3010299956639812</v>
      </c>
      <c r="Q33">
        <v>125.6212</v>
      </c>
    </row>
    <row r="34" spans="1:17">
      <c r="A34" t="s">
        <v>13</v>
      </c>
      <c r="B34">
        <v>515</v>
      </c>
      <c r="C34" t="s">
        <v>2</v>
      </c>
      <c r="D34">
        <v>3</v>
      </c>
      <c r="E34" s="1">
        <v>0.89703200000000005</v>
      </c>
      <c r="F34" s="2">
        <f>3203-2119</f>
        <v>1084</v>
      </c>
      <c r="G34" s="1">
        <v>2</v>
      </c>
      <c r="H34">
        <v>194.64410000000001</v>
      </c>
      <c r="I34">
        <v>125.3848</v>
      </c>
      <c r="L34">
        <v>3</v>
      </c>
      <c r="M34">
        <v>125.5033</v>
      </c>
      <c r="P34">
        <f t="shared" si="0"/>
        <v>0.47712125471966244</v>
      </c>
      <c r="Q34">
        <v>125.3848</v>
      </c>
    </row>
    <row r="35" spans="1:17">
      <c r="A35" t="s">
        <v>13</v>
      </c>
      <c r="B35">
        <v>515</v>
      </c>
      <c r="C35" t="s">
        <v>2</v>
      </c>
      <c r="D35">
        <v>3</v>
      </c>
      <c r="E35" s="1">
        <v>0.89028799999999997</v>
      </c>
      <c r="F35" s="2">
        <f>3268-2136</f>
        <v>1132</v>
      </c>
      <c r="G35" s="1">
        <v>-2</v>
      </c>
      <c r="H35">
        <v>197.3175</v>
      </c>
      <c r="I35">
        <v>125.5033</v>
      </c>
      <c r="L35">
        <v>3</v>
      </c>
      <c r="M35">
        <v>125.3194</v>
      </c>
      <c r="P35">
        <f t="shared" si="0"/>
        <v>0.47712125471966244</v>
      </c>
      <c r="Q35">
        <v>125.5033</v>
      </c>
    </row>
    <row r="36" spans="1:17">
      <c r="A36" t="s">
        <v>13</v>
      </c>
      <c r="B36">
        <v>515</v>
      </c>
      <c r="C36" t="s">
        <v>2</v>
      </c>
      <c r="D36">
        <v>3</v>
      </c>
      <c r="E36" s="1">
        <v>1.0285519999999999</v>
      </c>
      <c r="F36" s="2">
        <f>3141-2107</f>
        <v>1034</v>
      </c>
      <c r="G36" s="1">
        <v>4</v>
      </c>
      <c r="H36">
        <v>193.18450000000001</v>
      </c>
      <c r="I36">
        <v>125.3194</v>
      </c>
      <c r="L36">
        <v>3</v>
      </c>
      <c r="M36">
        <v>126.95269999999999</v>
      </c>
      <c r="P36">
        <f t="shared" si="0"/>
        <v>0.47712125471966244</v>
      </c>
      <c r="Q36">
        <v>125.3194</v>
      </c>
    </row>
    <row r="37" spans="1:17">
      <c r="A37" t="s">
        <v>13</v>
      </c>
      <c r="B37">
        <v>515</v>
      </c>
      <c r="C37" t="s">
        <v>2</v>
      </c>
      <c r="D37">
        <v>3</v>
      </c>
      <c r="E37" s="1">
        <v>0.80935299999999999</v>
      </c>
      <c r="F37" s="2">
        <f>2125-1036</f>
        <v>1089</v>
      </c>
      <c r="G37" s="1">
        <v>4</v>
      </c>
      <c r="H37">
        <v>233.14869999999999</v>
      </c>
      <c r="I37">
        <v>126.95269999999999</v>
      </c>
      <c r="L37">
        <v>3</v>
      </c>
      <c r="M37">
        <v>126.50369999999999</v>
      </c>
      <c r="P37">
        <f t="shared" si="0"/>
        <v>0.47712125471966244</v>
      </c>
      <c r="Q37">
        <v>126.95269999999999</v>
      </c>
    </row>
    <row r="38" spans="1:17">
      <c r="A38" t="s">
        <v>13</v>
      </c>
      <c r="B38">
        <v>515</v>
      </c>
      <c r="C38" t="s">
        <v>2</v>
      </c>
      <c r="D38">
        <v>3</v>
      </c>
      <c r="E38" s="1">
        <v>0.88354299999999997</v>
      </c>
      <c r="F38" s="2">
        <f>4406-3329</f>
        <v>1077</v>
      </c>
      <c r="G38" s="1">
        <v>-2</v>
      </c>
      <c r="H38">
        <v>221.40309999999999</v>
      </c>
      <c r="I38">
        <v>126.50369999999999</v>
      </c>
      <c r="L38">
        <v>3</v>
      </c>
      <c r="M38">
        <v>126.399</v>
      </c>
      <c r="P38">
        <f t="shared" si="0"/>
        <v>0.47712125471966244</v>
      </c>
      <c r="Q38">
        <v>126.50369999999999</v>
      </c>
    </row>
    <row r="39" spans="1:17">
      <c r="A39" t="s">
        <v>13</v>
      </c>
      <c r="B39">
        <v>515</v>
      </c>
      <c r="C39" t="s">
        <v>2</v>
      </c>
      <c r="D39">
        <v>3</v>
      </c>
      <c r="E39" s="1">
        <v>1.015063</v>
      </c>
      <c r="F39" s="2">
        <f>3171-2122</f>
        <v>1049</v>
      </c>
      <c r="G39" s="1">
        <v>-3</v>
      </c>
      <c r="H39">
        <v>218.75069999999999</v>
      </c>
      <c r="I39">
        <v>126.399</v>
      </c>
      <c r="L39">
        <v>2</v>
      </c>
      <c r="M39">
        <v>120.0831</v>
      </c>
      <c r="P39">
        <f t="shared" si="0"/>
        <v>0.47712125471966244</v>
      </c>
      <c r="Q39">
        <v>126.399</v>
      </c>
    </row>
    <row r="40" spans="1:17">
      <c r="A40" t="s">
        <v>13</v>
      </c>
      <c r="B40">
        <v>518</v>
      </c>
      <c r="C40" t="s">
        <v>3</v>
      </c>
      <c r="D40">
        <v>2</v>
      </c>
      <c r="E40" s="1">
        <v>1.008318</v>
      </c>
      <c r="F40" s="2">
        <f>3078-2046</f>
        <v>1032</v>
      </c>
      <c r="G40" s="1">
        <v>-4</v>
      </c>
      <c r="H40">
        <v>105.7199</v>
      </c>
      <c r="I40">
        <v>120.0831</v>
      </c>
      <c r="L40">
        <v>2</v>
      </c>
      <c r="M40">
        <v>119.7223</v>
      </c>
      <c r="P40">
        <f t="shared" si="0"/>
        <v>0.3010299956639812</v>
      </c>
      <c r="Q40">
        <v>120.0831</v>
      </c>
    </row>
    <row r="41" spans="1:17">
      <c r="A41" t="s">
        <v>13</v>
      </c>
      <c r="B41">
        <v>518</v>
      </c>
      <c r="C41" t="s">
        <v>3</v>
      </c>
      <c r="D41">
        <v>2</v>
      </c>
      <c r="E41" s="1">
        <v>1.0352969999999999</v>
      </c>
      <c r="F41" s="2">
        <f>3122-2092</f>
        <v>1030</v>
      </c>
      <c r="G41" s="1">
        <f>43-36</f>
        <v>7</v>
      </c>
      <c r="H41">
        <v>101.4181</v>
      </c>
      <c r="I41">
        <v>119.7223</v>
      </c>
      <c r="L41">
        <v>2</v>
      </c>
      <c r="M41">
        <v>120.8468</v>
      </c>
      <c r="P41">
        <f t="shared" si="0"/>
        <v>0.3010299956639812</v>
      </c>
      <c r="Q41">
        <v>119.7223</v>
      </c>
    </row>
    <row r="42" spans="1:17">
      <c r="A42" t="s">
        <v>13</v>
      </c>
      <c r="B42">
        <v>518</v>
      </c>
      <c r="C42" t="s">
        <v>3</v>
      </c>
      <c r="D42">
        <v>2</v>
      </c>
      <c r="E42" s="1">
        <v>0.95773399999999997</v>
      </c>
      <c r="F42" s="2">
        <f>3154-2106</f>
        <v>1048</v>
      </c>
      <c r="G42" s="1">
        <v>5</v>
      </c>
      <c r="H42">
        <v>115.43559999999999</v>
      </c>
      <c r="I42">
        <v>120.8468</v>
      </c>
      <c r="L42">
        <v>2</v>
      </c>
      <c r="M42">
        <v>119.3732</v>
      </c>
      <c r="P42">
        <f t="shared" si="0"/>
        <v>0.3010299956639812</v>
      </c>
      <c r="Q42">
        <v>120.8468</v>
      </c>
    </row>
    <row r="43" spans="1:17">
      <c r="A43" t="s">
        <v>13</v>
      </c>
      <c r="B43">
        <v>518</v>
      </c>
      <c r="C43" t="s">
        <v>3</v>
      </c>
      <c r="D43">
        <v>2</v>
      </c>
      <c r="E43" s="1">
        <v>1.31857</v>
      </c>
      <c r="F43" s="2">
        <f xml:space="preserve"> 3226-2038</f>
        <v>1188</v>
      </c>
      <c r="G43" s="1">
        <v>-3</v>
      </c>
      <c r="H43">
        <v>97.4221</v>
      </c>
      <c r="I43">
        <v>119.3732</v>
      </c>
      <c r="L43">
        <v>2</v>
      </c>
      <c r="M43">
        <v>119.1345</v>
      </c>
      <c r="P43">
        <f t="shared" si="0"/>
        <v>0.3010299956639812</v>
      </c>
      <c r="Q43">
        <v>119.3732</v>
      </c>
    </row>
    <row r="44" spans="1:17">
      <c r="A44" t="s">
        <v>13</v>
      </c>
      <c r="B44">
        <v>518</v>
      </c>
      <c r="C44" t="s">
        <v>3</v>
      </c>
      <c r="D44">
        <v>2</v>
      </c>
      <c r="E44" s="1">
        <v>0.90040500000000001</v>
      </c>
      <c r="F44" s="2">
        <f>3190-2086</f>
        <v>1104</v>
      </c>
      <c r="G44" s="1">
        <v>-3</v>
      </c>
      <c r="H44">
        <v>94.781700000000001</v>
      </c>
      <c r="I44">
        <v>119.1345</v>
      </c>
      <c r="L44">
        <v>2</v>
      </c>
      <c r="M44">
        <v>118.6198</v>
      </c>
      <c r="P44">
        <f t="shared" si="0"/>
        <v>0.3010299956639812</v>
      </c>
      <c r="Q44">
        <v>119.1345</v>
      </c>
    </row>
    <row r="45" spans="1:17">
      <c r="A45" t="s">
        <v>13</v>
      </c>
      <c r="B45">
        <v>518</v>
      </c>
      <c r="C45" t="s">
        <v>3</v>
      </c>
      <c r="D45">
        <v>2</v>
      </c>
      <c r="E45" s="1">
        <v>1.352293</v>
      </c>
      <c r="F45" s="2">
        <f>3177-2221</f>
        <v>956</v>
      </c>
      <c r="G45" s="1">
        <v>-2</v>
      </c>
      <c r="H45">
        <v>89.328599999999994</v>
      </c>
      <c r="I45">
        <v>118.6198</v>
      </c>
      <c r="L45">
        <v>2</v>
      </c>
      <c r="M45">
        <v>120.5107</v>
      </c>
      <c r="P45">
        <f t="shared" si="0"/>
        <v>0.3010299956639812</v>
      </c>
      <c r="Q45">
        <v>118.6198</v>
      </c>
    </row>
    <row r="46" spans="1:17">
      <c r="A46" t="s">
        <v>13</v>
      </c>
      <c r="B46">
        <v>518</v>
      </c>
      <c r="C46" t="s">
        <v>3</v>
      </c>
      <c r="D46">
        <v>2</v>
      </c>
      <c r="E46" s="1">
        <v>1.065647</v>
      </c>
      <c r="F46" s="2">
        <f>3194-2035</f>
        <v>1159</v>
      </c>
      <c r="G46" s="1">
        <v>-8</v>
      </c>
      <c r="H46">
        <v>111.05410000000001</v>
      </c>
      <c r="I46">
        <v>120.5107</v>
      </c>
      <c r="L46">
        <v>2</v>
      </c>
      <c r="M46">
        <v>118.1631</v>
      </c>
      <c r="P46">
        <f t="shared" si="0"/>
        <v>0.3010299956639812</v>
      </c>
      <c r="Q46">
        <v>120.5107</v>
      </c>
    </row>
    <row r="47" spans="1:17">
      <c r="A47" t="s">
        <v>13</v>
      </c>
      <c r="B47">
        <v>518</v>
      </c>
      <c r="C47" t="s">
        <v>3</v>
      </c>
      <c r="D47">
        <v>2</v>
      </c>
      <c r="E47" s="1">
        <v>0.96785100000000002</v>
      </c>
      <c r="F47" s="2">
        <f>3151-2100</f>
        <v>1051</v>
      </c>
      <c r="G47" s="1">
        <v>1</v>
      </c>
      <c r="H47">
        <v>84.753</v>
      </c>
      <c r="I47">
        <v>118.1631</v>
      </c>
      <c r="L47">
        <v>2</v>
      </c>
      <c r="M47">
        <v>119.6536</v>
      </c>
      <c r="P47">
        <f t="shared" si="0"/>
        <v>0.3010299956639812</v>
      </c>
      <c r="Q47">
        <v>118.1631</v>
      </c>
    </row>
    <row r="48" spans="1:17">
      <c r="A48" t="s">
        <v>13</v>
      </c>
      <c r="B48">
        <v>518</v>
      </c>
      <c r="C48" t="s">
        <v>3</v>
      </c>
      <c r="D48">
        <v>2</v>
      </c>
      <c r="E48" s="1">
        <v>1.3792720000000001</v>
      </c>
      <c r="F48" s="2">
        <f>3117-2062</f>
        <v>1055</v>
      </c>
      <c r="G48" s="2">
        <f>33-41</f>
        <v>-8</v>
      </c>
      <c r="H48">
        <v>100.6185</v>
      </c>
      <c r="I48">
        <v>119.6536</v>
      </c>
      <c r="L48">
        <v>2</v>
      </c>
      <c r="M48">
        <v>118.8986</v>
      </c>
      <c r="P48">
        <f t="shared" si="0"/>
        <v>0.3010299956639812</v>
      </c>
      <c r="Q48">
        <v>119.6536</v>
      </c>
    </row>
    <row r="49" spans="1:17">
      <c r="A49" t="s">
        <v>13</v>
      </c>
      <c r="B49">
        <v>518</v>
      </c>
      <c r="C49" t="s">
        <v>3</v>
      </c>
      <c r="D49">
        <v>2</v>
      </c>
      <c r="E49" s="1">
        <v>0.85319199999999995</v>
      </c>
      <c r="F49" s="2">
        <f>3116-1999</f>
        <v>1117</v>
      </c>
      <c r="G49" s="1">
        <v>-2</v>
      </c>
      <c r="H49">
        <v>92.2423</v>
      </c>
      <c r="I49">
        <v>118.8986</v>
      </c>
      <c r="L49">
        <v>2</v>
      </c>
      <c r="M49">
        <v>124.7638</v>
      </c>
      <c r="P49">
        <f t="shared" si="0"/>
        <v>0.3010299956639812</v>
      </c>
      <c r="Q49">
        <v>118.8986</v>
      </c>
    </row>
    <row r="50" spans="1:17">
      <c r="A50" t="s">
        <v>13</v>
      </c>
      <c r="B50">
        <v>518</v>
      </c>
      <c r="C50" t="s">
        <v>3</v>
      </c>
      <c r="D50">
        <v>2</v>
      </c>
      <c r="E50" s="1">
        <v>0.95098899999999997</v>
      </c>
      <c r="F50" s="2">
        <f>3145-2125</f>
        <v>1020</v>
      </c>
      <c r="G50" s="1">
        <v>0</v>
      </c>
      <c r="H50">
        <v>181.2133</v>
      </c>
      <c r="I50">
        <v>124.7638</v>
      </c>
      <c r="L50">
        <v>2</v>
      </c>
      <c r="M50">
        <v>123.2392</v>
      </c>
      <c r="P50">
        <f t="shared" si="0"/>
        <v>0.3010299956639812</v>
      </c>
      <c r="Q50">
        <v>124.7638</v>
      </c>
    </row>
    <row r="51" spans="1:17">
      <c r="A51" t="s">
        <v>13</v>
      </c>
      <c r="B51">
        <v>518</v>
      </c>
      <c r="C51" t="s">
        <v>3</v>
      </c>
      <c r="D51">
        <v>2</v>
      </c>
      <c r="E51" s="1">
        <v>1.133094</v>
      </c>
      <c r="F51" s="2">
        <f>3149-2186</f>
        <v>963</v>
      </c>
      <c r="G51" s="1">
        <v>-4</v>
      </c>
      <c r="H51">
        <v>152.04060000000001</v>
      </c>
      <c r="I51">
        <v>123.2392</v>
      </c>
      <c r="L51">
        <v>2</v>
      </c>
      <c r="M51">
        <v>124.604</v>
      </c>
      <c r="P51">
        <f t="shared" si="0"/>
        <v>0.3010299956639812</v>
      </c>
      <c r="Q51">
        <v>123.2392</v>
      </c>
    </row>
    <row r="52" spans="1:17">
      <c r="A52" t="s">
        <v>13</v>
      </c>
      <c r="B52">
        <v>518</v>
      </c>
      <c r="C52" t="s">
        <v>3</v>
      </c>
      <c r="D52">
        <v>2</v>
      </c>
      <c r="E52" s="1">
        <v>1.0116909999999999</v>
      </c>
      <c r="F52" s="2">
        <f>3227-2141</f>
        <v>1086</v>
      </c>
      <c r="G52" s="1">
        <f>27-33</f>
        <v>-6</v>
      </c>
      <c r="H52">
        <v>177.90950000000001</v>
      </c>
      <c r="I52">
        <v>124.604</v>
      </c>
      <c r="L52">
        <v>2</v>
      </c>
      <c r="M52">
        <v>122.5437</v>
      </c>
      <c r="P52">
        <f t="shared" si="0"/>
        <v>0.3010299956639812</v>
      </c>
      <c r="Q52">
        <v>124.604</v>
      </c>
    </row>
    <row r="53" spans="1:17">
      <c r="A53" t="s">
        <v>13</v>
      </c>
      <c r="B53">
        <v>518</v>
      </c>
      <c r="C53" t="s">
        <v>3</v>
      </c>
      <c r="D53">
        <v>2</v>
      </c>
      <c r="E53" s="1">
        <v>0.86668199999999995</v>
      </c>
      <c r="F53" s="2">
        <f>3150-2106</f>
        <v>1044</v>
      </c>
      <c r="G53" s="1">
        <v>-6</v>
      </c>
      <c r="H53">
        <v>140.34059999999999</v>
      </c>
      <c r="I53">
        <v>122.5437</v>
      </c>
      <c r="L53">
        <v>2</v>
      </c>
      <c r="M53">
        <v>129.3776</v>
      </c>
      <c r="P53">
        <f t="shared" si="0"/>
        <v>0.3010299956639812</v>
      </c>
      <c r="Q53">
        <v>122.5437</v>
      </c>
    </row>
    <row r="54" spans="1:17">
      <c r="A54" t="s">
        <v>13</v>
      </c>
      <c r="B54">
        <v>518</v>
      </c>
      <c r="C54" t="s">
        <v>3</v>
      </c>
      <c r="D54">
        <v>2</v>
      </c>
      <c r="E54" s="1">
        <v>0.75539599999999996</v>
      </c>
      <c r="F54" s="2">
        <f>3217-2131</f>
        <v>1086</v>
      </c>
      <c r="G54" s="1">
        <v>-5</v>
      </c>
      <c r="H54">
        <v>308.23309999999998</v>
      </c>
      <c r="I54">
        <v>129.3776</v>
      </c>
      <c r="L54">
        <v>2</v>
      </c>
      <c r="M54">
        <v>122.242</v>
      </c>
      <c r="P54">
        <f t="shared" si="0"/>
        <v>0.3010299956639812</v>
      </c>
      <c r="Q54">
        <v>129.3776</v>
      </c>
    </row>
    <row r="55" spans="1:17">
      <c r="A55" t="s">
        <v>13</v>
      </c>
      <c r="B55">
        <v>518</v>
      </c>
      <c r="C55" t="s">
        <v>3</v>
      </c>
      <c r="D55">
        <v>2</v>
      </c>
      <c r="E55" s="1">
        <v>1.207284</v>
      </c>
      <c r="F55" s="2">
        <f>3664-2452</f>
        <v>1212</v>
      </c>
      <c r="G55" s="1">
        <v>1</v>
      </c>
      <c r="H55">
        <v>135.5496</v>
      </c>
      <c r="I55">
        <v>122.242</v>
      </c>
      <c r="L55">
        <v>1</v>
      </c>
      <c r="M55" s="3">
        <v>130.86519999999999</v>
      </c>
      <c r="P55">
        <f t="shared" si="0"/>
        <v>0.3010299956639812</v>
      </c>
      <c r="Q55">
        <v>122.242</v>
      </c>
    </row>
    <row r="56" spans="1:17">
      <c r="A56" t="s">
        <v>14</v>
      </c>
      <c r="B56">
        <v>514</v>
      </c>
      <c r="C56" t="s">
        <v>1</v>
      </c>
      <c r="D56">
        <v>1</v>
      </c>
      <c r="E56" s="1">
        <v>0.83970299999999998</v>
      </c>
      <c r="F56" s="2">
        <f>3199-2120</f>
        <v>1079</v>
      </c>
      <c r="G56" s="1">
        <v>3</v>
      </c>
      <c r="H56" s="3">
        <v>365.81330000000003</v>
      </c>
      <c r="I56" s="3">
        <v>130.86519999999999</v>
      </c>
      <c r="L56">
        <v>1</v>
      </c>
      <c r="M56" s="3">
        <v>121.0628</v>
      </c>
      <c r="N56" s="3"/>
      <c r="P56">
        <f t="shared" si="0"/>
        <v>0</v>
      </c>
      <c r="Q56" s="3">
        <v>130.86519999999999</v>
      </c>
    </row>
    <row r="57" spans="1:17">
      <c r="A57" t="s">
        <v>14</v>
      </c>
      <c r="B57">
        <v>514</v>
      </c>
      <c r="C57" t="s">
        <v>1</v>
      </c>
      <c r="D57">
        <v>1</v>
      </c>
      <c r="E57" s="2">
        <v>0.83970299999999998</v>
      </c>
      <c r="F57" s="2">
        <f>3199-2132</f>
        <v>1067</v>
      </c>
      <c r="G57" s="1">
        <v>-2</v>
      </c>
      <c r="H57" s="3">
        <v>118.34229999999999</v>
      </c>
      <c r="I57" s="3">
        <v>121.0628</v>
      </c>
      <c r="L57">
        <v>1</v>
      </c>
      <c r="M57" s="3">
        <v>120.6767</v>
      </c>
      <c r="N57" s="3"/>
      <c r="P57">
        <f t="shared" si="0"/>
        <v>0</v>
      </c>
      <c r="Q57" s="3">
        <v>121.0628</v>
      </c>
    </row>
    <row r="58" spans="1:17">
      <c r="A58" t="s">
        <v>14</v>
      </c>
      <c r="B58">
        <v>514</v>
      </c>
      <c r="C58" t="s">
        <v>1</v>
      </c>
      <c r="D58">
        <v>1</v>
      </c>
      <c r="E58" s="1">
        <v>0.87342600000000004</v>
      </c>
      <c r="F58" s="2">
        <f>2969-2116</f>
        <v>853</v>
      </c>
      <c r="G58" s="1">
        <v>5</v>
      </c>
      <c r="H58" s="3">
        <v>113.197</v>
      </c>
      <c r="I58" s="3">
        <v>120.6767</v>
      </c>
      <c r="L58">
        <v>1</v>
      </c>
      <c r="M58" s="3">
        <v>120.0543</v>
      </c>
      <c r="N58" s="3"/>
      <c r="P58">
        <f t="shared" si="0"/>
        <v>0</v>
      </c>
      <c r="Q58" s="3">
        <v>120.6767</v>
      </c>
    </row>
    <row r="59" spans="1:17">
      <c r="A59" t="s">
        <v>14</v>
      </c>
      <c r="B59">
        <v>514</v>
      </c>
      <c r="C59" t="s">
        <v>1</v>
      </c>
      <c r="D59">
        <v>1</v>
      </c>
      <c r="E59" s="1">
        <v>0.91389399999999998</v>
      </c>
      <c r="F59" s="2">
        <f>3860-2407</f>
        <v>1453</v>
      </c>
      <c r="G59" s="1">
        <v>4</v>
      </c>
      <c r="H59" s="3">
        <v>105.3693</v>
      </c>
      <c r="I59" s="3">
        <v>120.0543</v>
      </c>
      <c r="L59">
        <v>1</v>
      </c>
      <c r="M59" s="3">
        <v>120.1511</v>
      </c>
      <c r="N59" s="3"/>
      <c r="P59">
        <f t="shared" si="0"/>
        <v>0</v>
      </c>
      <c r="Q59" s="3">
        <v>120.0543</v>
      </c>
    </row>
    <row r="60" spans="1:17">
      <c r="A60" t="s">
        <v>14</v>
      </c>
      <c r="B60">
        <v>514</v>
      </c>
      <c r="C60" t="s">
        <v>1</v>
      </c>
      <c r="D60">
        <v>1</v>
      </c>
      <c r="E60" s="1">
        <v>0.87342600000000004</v>
      </c>
      <c r="F60" s="2">
        <f>3146-2084</f>
        <v>1062</v>
      </c>
      <c r="G60" s="1">
        <v>1</v>
      </c>
      <c r="H60" s="3">
        <v>106.5506</v>
      </c>
      <c r="I60" s="3">
        <v>120.1511</v>
      </c>
      <c r="L60">
        <v>4</v>
      </c>
      <c r="M60" s="3">
        <v>130.71860000000001</v>
      </c>
      <c r="N60" s="3"/>
      <c r="P60">
        <f t="shared" si="0"/>
        <v>0</v>
      </c>
      <c r="Q60" s="3">
        <v>120.1511</v>
      </c>
    </row>
    <row r="61" spans="1:17">
      <c r="A61" t="s">
        <v>14</v>
      </c>
      <c r="B61">
        <v>514</v>
      </c>
      <c r="C61" t="s">
        <v>1</v>
      </c>
      <c r="D61">
        <v>4</v>
      </c>
      <c r="E61" s="1">
        <v>0.97796799999999995</v>
      </c>
      <c r="F61" s="2">
        <f>3109-2133</f>
        <v>976</v>
      </c>
      <c r="G61" s="1">
        <v>-10</v>
      </c>
      <c r="H61" s="3">
        <v>359.69310000000002</v>
      </c>
      <c r="I61" s="3">
        <v>130.71860000000001</v>
      </c>
      <c r="L61">
        <v>4</v>
      </c>
      <c r="M61" s="3">
        <v>131.0026</v>
      </c>
      <c r="N61" s="3"/>
      <c r="P61">
        <f t="shared" si="0"/>
        <v>0.6020599913279624</v>
      </c>
      <c r="Q61" s="3">
        <v>130.71860000000001</v>
      </c>
    </row>
    <row r="62" spans="1:17">
      <c r="A62" t="s">
        <v>14</v>
      </c>
      <c r="B62">
        <v>514</v>
      </c>
      <c r="C62" t="s">
        <v>1</v>
      </c>
      <c r="D62">
        <v>4</v>
      </c>
      <c r="E62" s="1">
        <v>0.97796799999999995</v>
      </c>
      <c r="F62" s="2">
        <f>3005-2028</f>
        <v>977</v>
      </c>
      <c r="G62" s="1">
        <v>-7</v>
      </c>
      <c r="H62" s="3">
        <v>371.64679999999998</v>
      </c>
      <c r="I62" s="3">
        <v>131.0026</v>
      </c>
      <c r="L62">
        <v>4</v>
      </c>
      <c r="M62" s="3">
        <v>129.2636</v>
      </c>
      <c r="N62" s="3"/>
      <c r="P62">
        <f t="shared" si="0"/>
        <v>0.6020599913279624</v>
      </c>
      <c r="Q62" s="3">
        <v>131.0026</v>
      </c>
    </row>
    <row r="63" spans="1:17">
      <c r="A63" t="s">
        <v>14</v>
      </c>
      <c r="B63">
        <v>514</v>
      </c>
      <c r="C63" t="s">
        <v>1</v>
      </c>
      <c r="D63">
        <v>4</v>
      </c>
      <c r="E63" s="1">
        <v>1.072392</v>
      </c>
      <c r="F63" s="2">
        <f>2979-1978</f>
        <v>1001</v>
      </c>
      <c r="G63" s="1">
        <v>-2</v>
      </c>
      <c r="H63" s="3">
        <v>304.21539999999999</v>
      </c>
      <c r="I63" s="3">
        <v>129.2636</v>
      </c>
      <c r="L63">
        <v>4</v>
      </c>
      <c r="M63" s="3">
        <v>130.0874</v>
      </c>
      <c r="N63" s="3"/>
      <c r="P63">
        <f t="shared" si="0"/>
        <v>0.6020599913279624</v>
      </c>
      <c r="Q63" s="3">
        <v>129.2636</v>
      </c>
    </row>
    <row r="64" spans="1:17">
      <c r="A64" t="s">
        <v>14</v>
      </c>
      <c r="B64">
        <v>514</v>
      </c>
      <c r="C64" t="s">
        <v>1</v>
      </c>
      <c r="D64">
        <v>4</v>
      </c>
      <c r="E64" s="1">
        <v>1.0690200000000001</v>
      </c>
      <c r="F64" s="2">
        <f>2383-1011</f>
        <v>1372</v>
      </c>
      <c r="G64" s="1">
        <f>27-41</f>
        <v>-14</v>
      </c>
      <c r="H64" s="3">
        <v>334.47980000000001</v>
      </c>
      <c r="I64" s="3">
        <v>130.0874</v>
      </c>
      <c r="L64">
        <v>4</v>
      </c>
      <c r="M64" s="3">
        <v>125.69</v>
      </c>
      <c r="N64" s="3"/>
      <c r="P64">
        <f t="shared" si="0"/>
        <v>0.6020599913279624</v>
      </c>
      <c r="Q64" s="3">
        <v>130.0874</v>
      </c>
    </row>
    <row r="65" spans="1:17">
      <c r="A65" t="s">
        <v>14</v>
      </c>
      <c r="B65">
        <v>514</v>
      </c>
      <c r="C65" t="s">
        <v>1</v>
      </c>
      <c r="D65">
        <v>4</v>
      </c>
      <c r="E65" s="1">
        <v>0.87343599999999999</v>
      </c>
      <c r="F65" s="2">
        <f>3082-2069</f>
        <v>1013</v>
      </c>
      <c r="G65" s="1">
        <v>-8</v>
      </c>
      <c r="H65" s="3">
        <v>201.60499999999999</v>
      </c>
      <c r="I65" s="3">
        <v>125.69</v>
      </c>
      <c r="L65">
        <v>4</v>
      </c>
      <c r="M65" s="3">
        <v>125.7621</v>
      </c>
      <c r="N65" s="3"/>
      <c r="P65">
        <f t="shared" si="0"/>
        <v>0.6020599913279624</v>
      </c>
      <c r="Q65" s="3">
        <v>125.69</v>
      </c>
    </row>
    <row r="66" spans="1:17">
      <c r="A66" t="s">
        <v>14</v>
      </c>
      <c r="B66">
        <v>514</v>
      </c>
      <c r="C66" t="s">
        <v>1</v>
      </c>
      <c r="D66">
        <v>4</v>
      </c>
      <c r="E66" s="1">
        <v>0.86330899999999999</v>
      </c>
      <c r="F66" s="2">
        <f>5536-4393</f>
        <v>1143</v>
      </c>
      <c r="G66" s="1">
        <v>-2</v>
      </c>
      <c r="H66" s="3">
        <v>203.2851</v>
      </c>
      <c r="I66" s="3">
        <v>125.7621</v>
      </c>
      <c r="L66">
        <v>4</v>
      </c>
      <c r="M66" s="3">
        <v>126.2564</v>
      </c>
      <c r="N66" s="3"/>
      <c r="P66">
        <f t="shared" si="0"/>
        <v>0.6020599913279624</v>
      </c>
      <c r="Q66" s="3">
        <v>125.7621</v>
      </c>
    </row>
    <row r="67" spans="1:17">
      <c r="A67" t="s">
        <v>14</v>
      </c>
      <c r="B67">
        <v>514</v>
      </c>
      <c r="C67" t="s">
        <v>1</v>
      </c>
      <c r="D67">
        <v>4</v>
      </c>
      <c r="E67" s="1">
        <v>0.86307599999999995</v>
      </c>
      <c r="F67" s="2">
        <f>3234-2138</f>
        <v>1096</v>
      </c>
      <c r="G67" s="1">
        <v>-7</v>
      </c>
      <c r="H67" s="3">
        <v>215.18790000000001</v>
      </c>
      <c r="I67" s="3">
        <v>126.2564</v>
      </c>
      <c r="L67">
        <v>4</v>
      </c>
      <c r="M67" s="3">
        <v>127.0142</v>
      </c>
      <c r="N67" s="3"/>
      <c r="P67">
        <f t="shared" ref="P67:P130" si="1">LOG10(D67)</f>
        <v>0.6020599913279624</v>
      </c>
      <c r="Q67" s="3">
        <v>126.2564</v>
      </c>
    </row>
    <row r="68" spans="1:17">
      <c r="A68" t="s">
        <v>14</v>
      </c>
      <c r="B68">
        <v>514</v>
      </c>
      <c r="C68" t="s">
        <v>1</v>
      </c>
      <c r="D68">
        <v>4</v>
      </c>
      <c r="E68" s="1">
        <v>0.90377700000000005</v>
      </c>
      <c r="F68" s="2">
        <f>3093-2032</f>
        <v>1061</v>
      </c>
      <c r="G68" s="1">
        <v>-6</v>
      </c>
      <c r="H68" s="3">
        <v>234.80600000000001</v>
      </c>
      <c r="I68" s="3">
        <v>127.0142</v>
      </c>
      <c r="L68">
        <v>4</v>
      </c>
      <c r="M68" s="3">
        <v>128.0283</v>
      </c>
      <c r="N68" s="3"/>
      <c r="P68">
        <f t="shared" si="1"/>
        <v>0.6020599913279624</v>
      </c>
      <c r="Q68" s="3">
        <v>127.0142</v>
      </c>
    </row>
    <row r="69" spans="1:17">
      <c r="A69" t="s">
        <v>14</v>
      </c>
      <c r="B69">
        <v>514</v>
      </c>
      <c r="C69" t="s">
        <v>1</v>
      </c>
      <c r="D69">
        <v>4</v>
      </c>
      <c r="E69" s="1">
        <v>0.94087200000000004</v>
      </c>
      <c r="F69" s="2">
        <f>3504-2166</f>
        <v>1338</v>
      </c>
      <c r="G69" s="1">
        <v>5</v>
      </c>
      <c r="H69" s="3">
        <v>263.88389999999998</v>
      </c>
      <c r="I69" s="3">
        <v>128.0283</v>
      </c>
      <c r="L69">
        <v>4</v>
      </c>
      <c r="M69" s="3">
        <v>122.8601</v>
      </c>
      <c r="N69" s="3"/>
      <c r="P69">
        <f t="shared" si="1"/>
        <v>0.6020599913279624</v>
      </c>
      <c r="Q69" s="3">
        <v>128.0283</v>
      </c>
    </row>
    <row r="70" spans="1:17">
      <c r="A70" t="s">
        <v>14</v>
      </c>
      <c r="B70">
        <v>514</v>
      </c>
      <c r="C70" t="s">
        <v>1</v>
      </c>
      <c r="D70">
        <v>4</v>
      </c>
      <c r="E70" s="1">
        <v>0.82284199999999996</v>
      </c>
      <c r="F70" s="4">
        <f>3270-2201</f>
        <v>1069</v>
      </c>
      <c r="G70" s="1">
        <v>13</v>
      </c>
      <c r="H70" s="3">
        <v>145.5479</v>
      </c>
      <c r="I70" s="3">
        <v>122.8601</v>
      </c>
      <c r="L70">
        <v>4</v>
      </c>
      <c r="M70" s="3">
        <v>124.1587</v>
      </c>
      <c r="N70" s="3"/>
      <c r="P70">
        <f t="shared" si="1"/>
        <v>0.6020599913279624</v>
      </c>
      <c r="Q70" s="3">
        <v>122.8601</v>
      </c>
    </row>
    <row r="71" spans="1:17">
      <c r="A71" t="s">
        <v>14</v>
      </c>
      <c r="B71">
        <v>514</v>
      </c>
      <c r="C71" t="s">
        <v>1</v>
      </c>
      <c r="D71">
        <v>4</v>
      </c>
      <c r="E71" s="1">
        <v>0.77225699999999997</v>
      </c>
      <c r="F71" s="4">
        <f>3262-2194</f>
        <v>1068</v>
      </c>
      <c r="G71" s="1">
        <v>-1</v>
      </c>
      <c r="H71" s="3">
        <v>169.0179</v>
      </c>
      <c r="I71" s="3">
        <v>124.1587</v>
      </c>
      <c r="L71">
        <v>4</v>
      </c>
      <c r="M71" s="3">
        <v>125.72499999999999</v>
      </c>
      <c r="N71" s="3"/>
      <c r="P71">
        <f t="shared" si="1"/>
        <v>0.6020599913279624</v>
      </c>
      <c r="Q71" s="3">
        <v>124.1587</v>
      </c>
    </row>
    <row r="72" spans="1:17">
      <c r="A72" t="s">
        <v>14</v>
      </c>
      <c r="B72">
        <v>514</v>
      </c>
      <c r="C72" t="s">
        <v>1</v>
      </c>
      <c r="D72">
        <v>4</v>
      </c>
      <c r="E72" s="1">
        <v>0.80598000000000003</v>
      </c>
      <c r="F72" s="4">
        <f>3173-2168</f>
        <v>1005</v>
      </c>
      <c r="G72" s="1">
        <v>1</v>
      </c>
      <c r="H72" s="3">
        <v>202.4195</v>
      </c>
      <c r="I72" s="3">
        <v>125.72499999999999</v>
      </c>
      <c r="L72">
        <v>4</v>
      </c>
      <c r="M72" s="3">
        <v>123.25700000000001</v>
      </c>
      <c r="N72" s="3"/>
      <c r="P72">
        <f t="shared" si="1"/>
        <v>0.6020599913279624</v>
      </c>
      <c r="Q72" s="3">
        <v>125.72499999999999</v>
      </c>
    </row>
    <row r="73" spans="1:17">
      <c r="A73" t="s">
        <v>14</v>
      </c>
      <c r="B73">
        <v>514</v>
      </c>
      <c r="C73" t="s">
        <v>1</v>
      </c>
      <c r="D73">
        <v>4</v>
      </c>
      <c r="E73" s="1">
        <v>0.77225699999999997</v>
      </c>
      <c r="F73" s="4">
        <f>3267-2185</f>
        <v>1082</v>
      </c>
      <c r="G73" s="1">
        <v>0</v>
      </c>
      <c r="H73" s="3">
        <v>152.35239999999999</v>
      </c>
      <c r="I73" s="3">
        <v>123.25700000000001</v>
      </c>
      <c r="L73">
        <v>4</v>
      </c>
      <c r="M73" s="3">
        <v>127.4619</v>
      </c>
      <c r="N73" s="3"/>
      <c r="P73">
        <f t="shared" si="1"/>
        <v>0.6020599913279624</v>
      </c>
      <c r="Q73" s="3">
        <v>123.25700000000001</v>
      </c>
    </row>
    <row r="74" spans="1:17">
      <c r="A74" t="s">
        <v>14</v>
      </c>
      <c r="B74">
        <v>514</v>
      </c>
      <c r="C74" t="s">
        <v>1</v>
      </c>
      <c r="D74">
        <v>4</v>
      </c>
      <c r="E74" s="1">
        <v>0.832959</v>
      </c>
      <c r="F74">
        <f>5245-4264</f>
        <v>981</v>
      </c>
      <c r="G74" s="1">
        <v>-3</v>
      </c>
      <c r="H74" s="3">
        <v>247.22669999999999</v>
      </c>
      <c r="I74" s="3">
        <v>127.4619</v>
      </c>
      <c r="L74">
        <v>5</v>
      </c>
      <c r="M74" s="3">
        <v>127.48139999999999</v>
      </c>
      <c r="N74" s="3"/>
      <c r="P74">
        <f t="shared" si="1"/>
        <v>0.6020599913279624</v>
      </c>
      <c r="Q74" s="3">
        <v>127.4619</v>
      </c>
    </row>
    <row r="75" spans="1:17">
      <c r="A75" t="s">
        <v>14</v>
      </c>
      <c r="B75">
        <v>514</v>
      </c>
      <c r="C75" t="s">
        <v>1</v>
      </c>
      <c r="D75">
        <v>5</v>
      </c>
      <c r="E75" s="1">
        <v>0.70818300000000001</v>
      </c>
      <c r="F75">
        <f>3237-2171</f>
        <v>1066</v>
      </c>
      <c r="G75" s="1">
        <v>1</v>
      </c>
      <c r="H75" s="3">
        <v>247.78200000000001</v>
      </c>
      <c r="I75" s="3">
        <v>127.48139999999999</v>
      </c>
      <c r="L75">
        <v>5</v>
      </c>
      <c r="M75" s="3">
        <v>127.37130000000001</v>
      </c>
      <c r="N75" s="3"/>
      <c r="P75">
        <f t="shared" si="1"/>
        <v>0.69897000433601886</v>
      </c>
      <c r="Q75" s="3">
        <v>127.48139999999999</v>
      </c>
    </row>
    <row r="76" spans="1:17">
      <c r="A76" t="s">
        <v>14</v>
      </c>
      <c r="B76">
        <v>514</v>
      </c>
      <c r="C76" t="s">
        <v>1</v>
      </c>
      <c r="D76">
        <v>5</v>
      </c>
      <c r="E76" s="1">
        <v>0.83970299999999998</v>
      </c>
      <c r="F76">
        <f>3219-2148</f>
        <v>1071</v>
      </c>
      <c r="G76" s="1">
        <v>2</v>
      </c>
      <c r="H76" s="3">
        <v>244.6617</v>
      </c>
      <c r="I76" s="3">
        <v>127.37130000000001</v>
      </c>
      <c r="L76">
        <v>5</v>
      </c>
      <c r="M76" s="3">
        <v>127.78149999999999</v>
      </c>
      <c r="N76" s="3"/>
      <c r="P76">
        <f t="shared" si="1"/>
        <v>0.69897000433601886</v>
      </c>
      <c r="Q76" s="3">
        <v>127.37130000000001</v>
      </c>
    </row>
    <row r="77" spans="1:17">
      <c r="A77" t="s">
        <v>14</v>
      </c>
      <c r="B77">
        <v>514</v>
      </c>
      <c r="C77" t="s">
        <v>1</v>
      </c>
      <c r="D77">
        <v>5</v>
      </c>
      <c r="E77" s="1">
        <v>1.0386690000000001</v>
      </c>
      <c r="F77">
        <f>3130-2147</f>
        <v>983</v>
      </c>
      <c r="G77" s="1">
        <v>-3</v>
      </c>
      <c r="H77" s="3">
        <v>256.49349999999998</v>
      </c>
      <c r="I77" s="3">
        <v>127.78149999999999</v>
      </c>
      <c r="L77">
        <v>5</v>
      </c>
      <c r="M77" s="3">
        <v>127.10129999999999</v>
      </c>
      <c r="N77" s="3"/>
      <c r="P77">
        <f t="shared" si="1"/>
        <v>0.69897000433601886</v>
      </c>
      <c r="Q77" s="3">
        <v>127.78149999999999</v>
      </c>
    </row>
    <row r="78" spans="1:17">
      <c r="A78" t="s">
        <v>14</v>
      </c>
      <c r="B78">
        <v>514</v>
      </c>
      <c r="C78" t="s">
        <v>1</v>
      </c>
      <c r="D78">
        <v>5</v>
      </c>
      <c r="E78" s="1">
        <v>0.92401100000000003</v>
      </c>
      <c r="F78">
        <f>3821-2735</f>
        <v>1086</v>
      </c>
      <c r="G78" s="1">
        <v>-1</v>
      </c>
      <c r="H78" s="3">
        <v>237.1728</v>
      </c>
      <c r="I78" s="3">
        <v>127.10129999999999</v>
      </c>
      <c r="L78">
        <v>5</v>
      </c>
      <c r="M78" s="3">
        <v>128.71019999999999</v>
      </c>
      <c r="N78" s="3"/>
      <c r="P78">
        <f t="shared" si="1"/>
        <v>0.69897000433601886</v>
      </c>
      <c r="Q78" s="3">
        <v>127.10129999999999</v>
      </c>
    </row>
    <row r="79" spans="1:17">
      <c r="A79" t="s">
        <v>14</v>
      </c>
      <c r="B79">
        <v>514</v>
      </c>
      <c r="C79" t="s">
        <v>1</v>
      </c>
      <c r="D79">
        <v>5</v>
      </c>
      <c r="E79" s="1">
        <v>0.92063799999999996</v>
      </c>
      <c r="F79">
        <f>3229-2141</f>
        <v>1088</v>
      </c>
      <c r="G79" s="1">
        <v>6</v>
      </c>
      <c r="H79" s="3">
        <v>285.4357</v>
      </c>
      <c r="I79" s="3">
        <v>128.71019999999999</v>
      </c>
      <c r="L79">
        <v>5</v>
      </c>
      <c r="M79" s="3">
        <v>128.72919999999999</v>
      </c>
      <c r="N79" s="3"/>
      <c r="P79">
        <f t="shared" si="1"/>
        <v>0.69897000433601886</v>
      </c>
      <c r="Q79" s="3">
        <v>128.71019999999999</v>
      </c>
    </row>
    <row r="80" spans="1:17">
      <c r="A80" t="s">
        <v>14</v>
      </c>
      <c r="B80">
        <v>514</v>
      </c>
      <c r="C80" t="s">
        <v>1</v>
      </c>
      <c r="D80">
        <v>5</v>
      </c>
      <c r="E80" s="1">
        <v>0.944245</v>
      </c>
      <c r="F80">
        <f>3167-2153</f>
        <v>1014</v>
      </c>
      <c r="G80" s="1">
        <f>24-36</f>
        <v>-12</v>
      </c>
      <c r="H80" s="3">
        <v>286.06060000000002</v>
      </c>
      <c r="I80" s="3">
        <v>128.72919999999999</v>
      </c>
      <c r="L80">
        <v>2</v>
      </c>
      <c r="M80">
        <v>124.00409999999999</v>
      </c>
      <c r="N80" s="3"/>
      <c r="P80">
        <f t="shared" si="1"/>
        <v>0.69897000433601886</v>
      </c>
      <c r="Q80" s="3">
        <v>128.72919999999999</v>
      </c>
    </row>
    <row r="81" spans="1:17">
      <c r="A81" t="s">
        <v>14</v>
      </c>
      <c r="B81">
        <v>519</v>
      </c>
      <c r="C81" t="s">
        <v>1</v>
      </c>
      <c r="D81">
        <v>2</v>
      </c>
      <c r="E81" s="1">
        <v>0.90741899999999998</v>
      </c>
      <c r="F81" s="2">
        <f>3280-2172</f>
        <v>1108</v>
      </c>
      <c r="G81" s="1">
        <v>1</v>
      </c>
      <c r="H81">
        <v>166.03790000000001</v>
      </c>
      <c r="I81">
        <v>124.00409999999999</v>
      </c>
      <c r="L81">
        <v>2</v>
      </c>
      <c r="M81">
        <v>124.10039999999999</v>
      </c>
      <c r="P81">
        <f t="shared" si="1"/>
        <v>0.3010299956639812</v>
      </c>
      <c r="Q81">
        <v>124.00409999999999</v>
      </c>
    </row>
    <row r="82" spans="1:17">
      <c r="A82" t="s">
        <v>14</v>
      </c>
      <c r="B82">
        <v>519</v>
      </c>
      <c r="C82" t="s">
        <v>1</v>
      </c>
      <c r="D82">
        <v>2</v>
      </c>
      <c r="E82" s="1">
        <v>1.095998</v>
      </c>
      <c r="F82" s="2">
        <f>3178-2136</f>
        <v>1042</v>
      </c>
      <c r="G82" s="1">
        <f>44-38</f>
        <v>6</v>
      </c>
      <c r="H82">
        <v>167.8888</v>
      </c>
      <c r="I82">
        <v>124.10039999999999</v>
      </c>
      <c r="L82">
        <v>2</v>
      </c>
      <c r="M82">
        <v>124.1996</v>
      </c>
      <c r="P82">
        <f t="shared" si="1"/>
        <v>0.3010299956639812</v>
      </c>
      <c r="Q82">
        <v>124.10039999999999</v>
      </c>
    </row>
    <row r="83" spans="1:17">
      <c r="A83" t="s">
        <v>14</v>
      </c>
      <c r="B83">
        <v>519</v>
      </c>
      <c r="C83" t="s">
        <v>1</v>
      </c>
      <c r="D83">
        <v>2</v>
      </c>
      <c r="E83" s="1">
        <v>0.70481099999999997</v>
      </c>
      <c r="F83" s="2">
        <f>3259-2184</f>
        <v>1075</v>
      </c>
      <c r="G83" s="1">
        <v>-4</v>
      </c>
      <c r="H83">
        <v>169.81610000000001</v>
      </c>
      <c r="I83">
        <v>124.1996</v>
      </c>
      <c r="L83">
        <v>2</v>
      </c>
      <c r="M83">
        <v>125.17919999999999</v>
      </c>
      <c r="P83">
        <f t="shared" si="1"/>
        <v>0.3010299956639812</v>
      </c>
      <c r="Q83">
        <v>124.1996</v>
      </c>
    </row>
    <row r="84" spans="1:17">
      <c r="A84" t="s">
        <v>14</v>
      </c>
      <c r="B84">
        <v>519</v>
      </c>
      <c r="C84" t="s">
        <v>1</v>
      </c>
      <c r="D84">
        <v>2</v>
      </c>
      <c r="E84" s="1">
        <v>0.98808499999999999</v>
      </c>
      <c r="F84" s="2">
        <f>3161-2066</f>
        <v>1095</v>
      </c>
      <c r="G84" s="1">
        <v>3</v>
      </c>
      <c r="H84">
        <v>190.09030000000001</v>
      </c>
      <c r="I84">
        <v>125.17919999999999</v>
      </c>
      <c r="L84">
        <v>2</v>
      </c>
      <c r="M84">
        <v>123.8027</v>
      </c>
      <c r="P84">
        <f t="shared" si="1"/>
        <v>0.3010299956639812</v>
      </c>
      <c r="Q84">
        <v>125.17919999999999</v>
      </c>
    </row>
    <row r="85" spans="1:17">
      <c r="A85" t="s">
        <v>14</v>
      </c>
      <c r="B85">
        <v>519</v>
      </c>
      <c r="C85" t="s">
        <v>1</v>
      </c>
      <c r="D85">
        <v>2</v>
      </c>
      <c r="E85" s="1">
        <v>1.0386690000000001</v>
      </c>
      <c r="F85" s="1">
        <f>3147-2093</f>
        <v>1054</v>
      </c>
      <c r="G85" s="1">
        <v>-4</v>
      </c>
      <c r="H85">
        <v>162.23179999999999</v>
      </c>
      <c r="I85">
        <v>123.8027</v>
      </c>
      <c r="L85">
        <v>2</v>
      </c>
      <c r="M85">
        <v>125.5234</v>
      </c>
      <c r="P85">
        <f t="shared" si="1"/>
        <v>0.3010299956639812</v>
      </c>
      <c r="Q85">
        <v>123.8027</v>
      </c>
    </row>
    <row r="86" spans="1:17">
      <c r="A86" t="s">
        <v>14</v>
      </c>
      <c r="B86">
        <v>519</v>
      </c>
      <c r="C86" t="s">
        <v>1</v>
      </c>
      <c r="D86">
        <v>2</v>
      </c>
      <c r="E86" s="1">
        <v>0.99482899999999996</v>
      </c>
      <c r="F86" s="1">
        <f>3114-2070</f>
        <v>1044</v>
      </c>
      <c r="G86" s="1">
        <v>-1</v>
      </c>
      <c r="H86">
        <v>197.77500000000001</v>
      </c>
      <c r="I86">
        <v>125.5234</v>
      </c>
      <c r="L86">
        <v>2</v>
      </c>
      <c r="M86">
        <v>125.38160000000001</v>
      </c>
      <c r="P86">
        <f t="shared" si="1"/>
        <v>0.3010299956639812</v>
      </c>
      <c r="Q86">
        <v>125.5234</v>
      </c>
    </row>
    <row r="87" spans="1:17">
      <c r="A87" t="s">
        <v>14</v>
      </c>
      <c r="B87">
        <v>519</v>
      </c>
      <c r="C87" t="s">
        <v>1</v>
      </c>
      <c r="D87">
        <v>2</v>
      </c>
      <c r="E87" s="1">
        <v>0.85319199999999995</v>
      </c>
      <c r="F87" s="1">
        <f>3248-2147</f>
        <v>1101</v>
      </c>
      <c r="G87" s="1">
        <v>10</v>
      </c>
      <c r="H87">
        <v>194.5712</v>
      </c>
      <c r="I87">
        <v>125.38160000000001</v>
      </c>
      <c r="L87">
        <v>2</v>
      </c>
      <c r="M87">
        <v>127.4442</v>
      </c>
      <c r="P87">
        <f t="shared" si="1"/>
        <v>0.3010299956639812</v>
      </c>
      <c r="Q87">
        <v>125.38160000000001</v>
      </c>
    </row>
    <row r="88" spans="1:17">
      <c r="A88" t="s">
        <v>14</v>
      </c>
      <c r="B88">
        <v>519</v>
      </c>
      <c r="C88" t="s">
        <v>1</v>
      </c>
      <c r="D88">
        <v>2</v>
      </c>
      <c r="E88" s="1">
        <v>0.92063799999999996</v>
      </c>
      <c r="F88" s="1">
        <f>3075-2095</f>
        <v>980</v>
      </c>
      <c r="G88" s="1">
        <f>41-37</f>
        <v>4</v>
      </c>
      <c r="H88">
        <v>246.72309999999999</v>
      </c>
      <c r="I88">
        <v>127.4442</v>
      </c>
      <c r="L88">
        <v>2</v>
      </c>
      <c r="M88">
        <v>127.27200000000001</v>
      </c>
      <c r="P88">
        <f t="shared" si="1"/>
        <v>0.3010299956639812</v>
      </c>
      <c r="Q88">
        <v>127.4442</v>
      </c>
    </row>
    <row r="89" spans="1:17">
      <c r="A89" t="s">
        <v>14</v>
      </c>
      <c r="B89">
        <v>519</v>
      </c>
      <c r="C89" t="s">
        <v>1</v>
      </c>
      <c r="D89">
        <v>2</v>
      </c>
      <c r="E89" s="1">
        <v>0.97122299999999995</v>
      </c>
      <c r="F89" s="2">
        <f>3220-2141</f>
        <v>1079</v>
      </c>
      <c r="G89" s="1">
        <v>0</v>
      </c>
      <c r="H89">
        <v>241.88130000000001</v>
      </c>
      <c r="I89">
        <v>127.27200000000001</v>
      </c>
      <c r="L89">
        <v>2</v>
      </c>
      <c r="M89">
        <v>127.6144</v>
      </c>
      <c r="P89">
        <f t="shared" si="1"/>
        <v>0.3010299956639812</v>
      </c>
      <c r="Q89">
        <v>127.27200000000001</v>
      </c>
    </row>
    <row r="90" spans="1:17">
      <c r="A90" t="s">
        <v>14</v>
      </c>
      <c r="B90">
        <v>519</v>
      </c>
      <c r="C90" t="s">
        <v>1</v>
      </c>
      <c r="D90">
        <v>2</v>
      </c>
      <c r="E90" s="1">
        <v>0.88354299999999997</v>
      </c>
      <c r="F90" s="2">
        <f>3344-2162</f>
        <v>1182</v>
      </c>
      <c r="G90" s="1">
        <v>5</v>
      </c>
      <c r="H90">
        <v>251.6063</v>
      </c>
      <c r="I90">
        <v>127.6144</v>
      </c>
      <c r="L90">
        <v>2</v>
      </c>
      <c r="M90">
        <v>128.0017</v>
      </c>
      <c r="P90">
        <f t="shared" si="1"/>
        <v>0.3010299956639812</v>
      </c>
      <c r="Q90">
        <v>127.6144</v>
      </c>
    </row>
    <row r="91" spans="1:17">
      <c r="A91" t="s">
        <v>14</v>
      </c>
      <c r="B91">
        <v>519</v>
      </c>
      <c r="C91" t="s">
        <v>1</v>
      </c>
      <c r="D91">
        <v>2</v>
      </c>
      <c r="E91" s="1">
        <v>0.95773399999999997</v>
      </c>
      <c r="F91" s="2">
        <f>3243-2166</f>
        <v>1077</v>
      </c>
      <c r="G91" s="1">
        <f>29-33</f>
        <v>-4</v>
      </c>
      <c r="H91">
        <v>263.07900000000001</v>
      </c>
      <c r="I91">
        <v>128.0017</v>
      </c>
      <c r="L91">
        <v>2</v>
      </c>
      <c r="M91">
        <v>125.1942</v>
      </c>
      <c r="P91">
        <f t="shared" si="1"/>
        <v>0.3010299956639812</v>
      </c>
      <c r="Q91">
        <v>128.0017</v>
      </c>
    </row>
    <row r="92" spans="1:17">
      <c r="A92" t="s">
        <v>14</v>
      </c>
      <c r="B92">
        <v>519</v>
      </c>
      <c r="C92" t="s">
        <v>1</v>
      </c>
      <c r="D92">
        <v>2</v>
      </c>
      <c r="E92" s="1">
        <v>0.99145700000000003</v>
      </c>
      <c r="F92" s="2">
        <f>3242-2124</f>
        <v>1118</v>
      </c>
      <c r="G92" s="2">
        <f>36-27</f>
        <v>9</v>
      </c>
      <c r="H92">
        <v>190.41970000000001</v>
      </c>
      <c r="I92">
        <v>125.1942</v>
      </c>
      <c r="L92">
        <v>2</v>
      </c>
      <c r="M92">
        <v>124.5265</v>
      </c>
      <c r="P92">
        <f t="shared" si="1"/>
        <v>0.3010299956639812</v>
      </c>
      <c r="Q92">
        <v>125.1942</v>
      </c>
    </row>
    <row r="93" spans="1:17">
      <c r="A93" t="s">
        <v>14</v>
      </c>
      <c r="B93">
        <v>519</v>
      </c>
      <c r="C93" t="s">
        <v>1</v>
      </c>
      <c r="D93">
        <v>2</v>
      </c>
      <c r="E93" s="1">
        <v>0.98143000000000002</v>
      </c>
      <c r="F93" s="2">
        <f>3103-2113</f>
        <v>990</v>
      </c>
      <c r="G93" s="2">
        <v>3</v>
      </c>
      <c r="H93">
        <v>176.32929999999999</v>
      </c>
      <c r="I93">
        <v>124.5265</v>
      </c>
      <c r="L93">
        <v>2</v>
      </c>
      <c r="M93">
        <v>122.4451</v>
      </c>
      <c r="P93">
        <f t="shared" si="1"/>
        <v>0.3010299956639812</v>
      </c>
      <c r="Q93">
        <v>124.5265</v>
      </c>
    </row>
    <row r="94" spans="1:17">
      <c r="A94" t="s">
        <v>14</v>
      </c>
      <c r="B94">
        <v>519</v>
      </c>
      <c r="C94" t="s">
        <v>1</v>
      </c>
      <c r="D94">
        <v>2</v>
      </c>
      <c r="E94" s="1">
        <v>1.119604</v>
      </c>
      <c r="F94" s="2">
        <f>3123-2070</f>
        <v>1053</v>
      </c>
      <c r="G94" s="1">
        <v>6</v>
      </c>
      <c r="H94">
        <v>138.75700000000001</v>
      </c>
      <c r="I94">
        <v>122.4451</v>
      </c>
      <c r="L94">
        <v>2</v>
      </c>
      <c r="M94">
        <v>121.125</v>
      </c>
      <c r="P94">
        <f t="shared" si="1"/>
        <v>0.3010299956639812</v>
      </c>
      <c r="Q94">
        <v>122.4451</v>
      </c>
    </row>
    <row r="95" spans="1:17">
      <c r="A95" t="s">
        <v>14</v>
      </c>
      <c r="B95">
        <v>519</v>
      </c>
      <c r="C95" t="s">
        <v>1</v>
      </c>
      <c r="D95">
        <v>2</v>
      </c>
      <c r="E95" s="1">
        <v>1.23089</v>
      </c>
      <c r="F95" s="2">
        <f>3032-2028</f>
        <v>1004</v>
      </c>
      <c r="G95" s="1">
        <v>1</v>
      </c>
      <c r="H95">
        <v>119.1931</v>
      </c>
      <c r="I95">
        <v>121.125</v>
      </c>
      <c r="L95">
        <v>2</v>
      </c>
      <c r="M95">
        <v>122.6657</v>
      </c>
      <c r="P95">
        <f t="shared" si="1"/>
        <v>0.3010299956639812</v>
      </c>
      <c r="Q95">
        <v>121.125</v>
      </c>
    </row>
    <row r="96" spans="1:17">
      <c r="A96" t="s">
        <v>14</v>
      </c>
      <c r="B96">
        <v>519</v>
      </c>
      <c r="C96" t="s">
        <v>1</v>
      </c>
      <c r="D96">
        <v>2</v>
      </c>
      <c r="E96" s="1">
        <v>1.153327</v>
      </c>
      <c r="F96" s="2">
        <f>2926-1978</f>
        <v>948</v>
      </c>
      <c r="G96" s="1">
        <v>-2</v>
      </c>
      <c r="H96">
        <v>142.32679999999999</v>
      </c>
      <c r="I96">
        <v>122.6657</v>
      </c>
      <c r="L96">
        <v>2</v>
      </c>
      <c r="M96">
        <v>122.20869999999999</v>
      </c>
      <c r="P96">
        <f t="shared" si="1"/>
        <v>0.3010299956639812</v>
      </c>
      <c r="Q96">
        <v>122.6657</v>
      </c>
    </row>
    <row r="97" spans="1:17">
      <c r="A97" t="s">
        <v>14</v>
      </c>
      <c r="B97">
        <v>519</v>
      </c>
      <c r="C97" t="s">
        <v>1</v>
      </c>
      <c r="D97">
        <v>2</v>
      </c>
      <c r="E97" s="1">
        <v>0.9375</v>
      </c>
      <c r="F97" s="2">
        <f>3138-2109</f>
        <v>1029</v>
      </c>
      <c r="G97" s="1">
        <v>7</v>
      </c>
      <c r="H97">
        <v>135.0307</v>
      </c>
      <c r="I97">
        <v>122.20869999999999</v>
      </c>
      <c r="L97">
        <v>2</v>
      </c>
      <c r="M97">
        <v>123.1215</v>
      </c>
      <c r="P97">
        <f t="shared" si="1"/>
        <v>0.3010299956639812</v>
      </c>
      <c r="Q97">
        <v>122.20869999999999</v>
      </c>
    </row>
    <row r="98" spans="1:17">
      <c r="A98" t="s">
        <v>14</v>
      </c>
      <c r="B98">
        <v>519</v>
      </c>
      <c r="C98" t="s">
        <v>1</v>
      </c>
      <c r="D98">
        <v>2</v>
      </c>
      <c r="E98" s="1">
        <v>1.1701889999999999</v>
      </c>
      <c r="F98" s="2">
        <f>3095-2045</f>
        <v>1050</v>
      </c>
      <c r="G98" s="1">
        <v>3</v>
      </c>
      <c r="H98">
        <v>149.99510000000001</v>
      </c>
      <c r="I98">
        <v>123.1215</v>
      </c>
      <c r="L98">
        <v>2</v>
      </c>
      <c r="M98">
        <v>123.87649999999999</v>
      </c>
      <c r="P98">
        <f t="shared" si="1"/>
        <v>0.3010299956639812</v>
      </c>
      <c r="Q98">
        <v>123.1215</v>
      </c>
    </row>
    <row r="99" spans="1:17">
      <c r="A99" t="s">
        <v>14</v>
      </c>
      <c r="B99">
        <v>519</v>
      </c>
      <c r="C99" t="s">
        <v>1</v>
      </c>
      <c r="D99">
        <v>2</v>
      </c>
      <c r="E99" s="1">
        <v>1.0352969999999999</v>
      </c>
      <c r="F99" s="2">
        <f>3163-2121</f>
        <v>1042</v>
      </c>
      <c r="G99" s="1">
        <f>46-38</f>
        <v>8</v>
      </c>
      <c r="H99">
        <v>163.61519999999999</v>
      </c>
      <c r="I99">
        <v>123.87649999999999</v>
      </c>
      <c r="L99">
        <v>2</v>
      </c>
      <c r="M99">
        <v>125.6032</v>
      </c>
      <c r="P99">
        <f t="shared" si="1"/>
        <v>0.3010299956639812</v>
      </c>
      <c r="Q99">
        <v>123.87649999999999</v>
      </c>
    </row>
    <row r="100" spans="1:17">
      <c r="A100" t="s">
        <v>14</v>
      </c>
      <c r="B100">
        <v>519</v>
      </c>
      <c r="C100" t="s">
        <v>1</v>
      </c>
      <c r="D100">
        <v>2</v>
      </c>
      <c r="E100" s="1">
        <v>1.1634439999999999</v>
      </c>
      <c r="F100" s="2">
        <f>3111-2079</f>
        <v>1032</v>
      </c>
      <c r="G100" s="1">
        <v>-1</v>
      </c>
      <c r="H100">
        <v>199.59899999999999</v>
      </c>
      <c r="I100">
        <v>125.6032</v>
      </c>
      <c r="L100">
        <v>2</v>
      </c>
      <c r="M100">
        <v>123.84480000000001</v>
      </c>
      <c r="P100">
        <f t="shared" si="1"/>
        <v>0.3010299956639812</v>
      </c>
      <c r="Q100">
        <v>125.6032</v>
      </c>
    </row>
    <row r="101" spans="1:17">
      <c r="A101" t="s">
        <v>14</v>
      </c>
      <c r="B101">
        <v>519</v>
      </c>
      <c r="C101" t="s">
        <v>1</v>
      </c>
      <c r="D101">
        <v>2</v>
      </c>
      <c r="E101" s="1">
        <v>0.944245</v>
      </c>
      <c r="F101" s="2">
        <f>3205-2124</f>
        <v>1081</v>
      </c>
      <c r="G101" s="1">
        <v>4</v>
      </c>
      <c r="H101">
        <v>163.01900000000001</v>
      </c>
      <c r="I101">
        <v>123.84480000000001</v>
      </c>
      <c r="L101">
        <v>2</v>
      </c>
      <c r="M101">
        <v>126.24760000000001</v>
      </c>
      <c r="P101">
        <f t="shared" si="1"/>
        <v>0.3010299956639812</v>
      </c>
      <c r="Q101">
        <v>123.84480000000001</v>
      </c>
    </row>
    <row r="102" spans="1:17">
      <c r="A102" t="s">
        <v>14</v>
      </c>
      <c r="B102">
        <v>519</v>
      </c>
      <c r="C102" t="s">
        <v>1</v>
      </c>
      <c r="D102">
        <v>2</v>
      </c>
      <c r="E102" s="1">
        <v>1.1398379999999999</v>
      </c>
      <c r="F102" s="2">
        <f>3198-2131</f>
        <v>1067</v>
      </c>
      <c r="G102" s="1">
        <v>6</v>
      </c>
      <c r="H102">
        <v>214.9701</v>
      </c>
      <c r="I102">
        <v>126.24760000000001</v>
      </c>
      <c r="L102">
        <v>2</v>
      </c>
      <c r="M102">
        <v>122.9328</v>
      </c>
      <c r="P102">
        <f t="shared" si="1"/>
        <v>0.3010299956639812</v>
      </c>
      <c r="Q102">
        <v>126.24760000000001</v>
      </c>
    </row>
    <row r="103" spans="1:17">
      <c r="A103" t="s">
        <v>14</v>
      </c>
      <c r="B103">
        <v>519</v>
      </c>
      <c r="C103" t="s">
        <v>1</v>
      </c>
      <c r="D103">
        <v>2</v>
      </c>
      <c r="E103" s="1">
        <v>1.0116909999999999</v>
      </c>
      <c r="F103" s="2">
        <f>3190-2123</f>
        <v>1067</v>
      </c>
      <c r="G103" s="1">
        <v>8</v>
      </c>
      <c r="H103">
        <v>146.77080000000001</v>
      </c>
      <c r="I103">
        <v>122.9328</v>
      </c>
      <c r="L103">
        <v>2</v>
      </c>
      <c r="M103">
        <v>122.569</v>
      </c>
      <c r="P103">
        <f t="shared" si="1"/>
        <v>0.3010299956639812</v>
      </c>
      <c r="Q103">
        <v>122.9328</v>
      </c>
    </row>
    <row r="104" spans="1:17">
      <c r="A104" t="s">
        <v>14</v>
      </c>
      <c r="B104">
        <v>519</v>
      </c>
      <c r="C104" t="s">
        <v>1</v>
      </c>
      <c r="D104">
        <v>2</v>
      </c>
      <c r="E104" s="1">
        <v>1.0622750000000001</v>
      </c>
      <c r="F104" s="2">
        <f>3182-2138</f>
        <v>1044</v>
      </c>
      <c r="G104" s="1">
        <v>1</v>
      </c>
      <c r="H104">
        <v>140.75</v>
      </c>
      <c r="I104">
        <v>122.569</v>
      </c>
      <c r="L104">
        <v>2</v>
      </c>
      <c r="M104">
        <v>122.8212</v>
      </c>
      <c r="P104">
        <f t="shared" si="1"/>
        <v>0.3010299956639812</v>
      </c>
      <c r="Q104">
        <v>122.569</v>
      </c>
    </row>
    <row r="105" spans="1:17">
      <c r="A105" t="s">
        <v>14</v>
      </c>
      <c r="B105">
        <v>519</v>
      </c>
      <c r="C105" t="s">
        <v>1</v>
      </c>
      <c r="D105">
        <v>2</v>
      </c>
      <c r="E105" s="1">
        <v>1.0622750000000001</v>
      </c>
      <c r="F105" s="2">
        <f>3144-2077</f>
        <v>1067</v>
      </c>
      <c r="G105" s="1">
        <v>5</v>
      </c>
      <c r="H105">
        <v>144.89680000000001</v>
      </c>
      <c r="I105">
        <v>122.8212</v>
      </c>
      <c r="L105">
        <v>2</v>
      </c>
      <c r="M105">
        <v>124.07859999999999</v>
      </c>
      <c r="P105">
        <f t="shared" si="1"/>
        <v>0.3010299956639812</v>
      </c>
      <c r="Q105">
        <v>122.8212</v>
      </c>
    </row>
    <row r="106" spans="1:17">
      <c r="A106" t="s">
        <v>14</v>
      </c>
      <c r="B106">
        <v>519</v>
      </c>
      <c r="C106" t="s">
        <v>1</v>
      </c>
      <c r="D106">
        <v>2</v>
      </c>
      <c r="E106" s="1">
        <v>0.93412799999999996</v>
      </c>
      <c r="F106" s="2">
        <f>3144-2092</f>
        <v>1052</v>
      </c>
      <c r="G106" s="1">
        <v>6</v>
      </c>
      <c r="H106">
        <v>167.4682</v>
      </c>
      <c r="I106">
        <v>124.07859999999999</v>
      </c>
      <c r="L106">
        <v>2</v>
      </c>
      <c r="M106">
        <v>125.1718</v>
      </c>
      <c r="P106">
        <f t="shared" si="1"/>
        <v>0.3010299956639812</v>
      </c>
      <c r="Q106">
        <v>124.07859999999999</v>
      </c>
    </row>
    <row r="107" spans="1:17">
      <c r="A107" t="s">
        <v>14</v>
      </c>
      <c r="B107">
        <v>519</v>
      </c>
      <c r="C107" t="s">
        <v>1</v>
      </c>
      <c r="D107">
        <v>2</v>
      </c>
      <c r="E107" s="1">
        <v>1.1499550000000001</v>
      </c>
      <c r="F107" s="2">
        <f>3147-2197</f>
        <v>950</v>
      </c>
      <c r="G107" s="1">
        <v>-1</v>
      </c>
      <c r="H107">
        <v>189.92769999999999</v>
      </c>
      <c r="I107">
        <v>125.1718</v>
      </c>
      <c r="L107">
        <v>2</v>
      </c>
      <c r="M107">
        <v>125.27370000000001</v>
      </c>
      <c r="P107">
        <f t="shared" si="1"/>
        <v>0.3010299956639812</v>
      </c>
      <c r="Q107">
        <v>125.1718</v>
      </c>
    </row>
    <row r="108" spans="1:17">
      <c r="A108" t="s">
        <v>14</v>
      </c>
      <c r="B108">
        <v>519</v>
      </c>
      <c r="C108" t="s">
        <v>1</v>
      </c>
      <c r="D108">
        <v>2</v>
      </c>
      <c r="E108" s="1">
        <v>1.018435</v>
      </c>
      <c r="F108" s="2">
        <f>3397-2103</f>
        <v>1294</v>
      </c>
      <c r="G108" s="1">
        <v>9</v>
      </c>
      <c r="H108">
        <v>192.1694</v>
      </c>
      <c r="I108">
        <v>125.27370000000001</v>
      </c>
      <c r="L108">
        <v>2</v>
      </c>
      <c r="M108">
        <v>125.167</v>
      </c>
      <c r="P108">
        <f t="shared" si="1"/>
        <v>0.3010299956639812</v>
      </c>
      <c r="Q108">
        <v>125.27370000000001</v>
      </c>
    </row>
    <row r="109" spans="1:17">
      <c r="A109" t="s">
        <v>14</v>
      </c>
      <c r="B109">
        <v>519</v>
      </c>
      <c r="C109" t="s">
        <v>1</v>
      </c>
      <c r="D109">
        <v>2</v>
      </c>
      <c r="E109" s="1">
        <v>0.99482899999999996</v>
      </c>
      <c r="F109" s="2">
        <f>3110-2034</f>
        <v>1076</v>
      </c>
      <c r="G109" s="1">
        <v>2</v>
      </c>
      <c r="H109">
        <v>189.82259999999999</v>
      </c>
      <c r="I109">
        <v>125.167</v>
      </c>
      <c r="L109">
        <v>2</v>
      </c>
      <c r="M109">
        <v>127.3792</v>
      </c>
      <c r="P109">
        <f t="shared" si="1"/>
        <v>0.3010299956639812</v>
      </c>
      <c r="Q109">
        <v>125.167</v>
      </c>
    </row>
    <row r="110" spans="1:17">
      <c r="A110" t="s">
        <v>14</v>
      </c>
      <c r="B110">
        <v>519</v>
      </c>
      <c r="C110" t="s">
        <v>1</v>
      </c>
      <c r="D110">
        <v>2</v>
      </c>
      <c r="E110" s="1">
        <v>0.90040500000000001</v>
      </c>
      <c r="F110" s="2">
        <f>3228-2130</f>
        <v>1098</v>
      </c>
      <c r="G110" s="1">
        <v>9</v>
      </c>
      <c r="H110">
        <v>244.88290000000001</v>
      </c>
      <c r="I110">
        <v>127.3792</v>
      </c>
      <c r="L110">
        <v>2</v>
      </c>
      <c r="M110">
        <v>125.9679</v>
      </c>
      <c r="P110">
        <f t="shared" si="1"/>
        <v>0.3010299956639812</v>
      </c>
      <c r="Q110">
        <v>127.3792</v>
      </c>
    </row>
    <row r="111" spans="1:17">
      <c r="A111" t="s">
        <v>14</v>
      </c>
      <c r="B111">
        <v>519</v>
      </c>
      <c r="C111" t="s">
        <v>1</v>
      </c>
      <c r="D111">
        <v>2</v>
      </c>
      <c r="E111" s="1">
        <v>0.97459499999999999</v>
      </c>
      <c r="F111" s="2">
        <f>3126-2079</f>
        <v>1047</v>
      </c>
      <c r="G111" s="1">
        <v>-3</v>
      </c>
      <c r="H111">
        <v>208.15799999999999</v>
      </c>
      <c r="I111">
        <v>125.9679</v>
      </c>
      <c r="L111">
        <v>2</v>
      </c>
      <c r="M111">
        <v>125.624</v>
      </c>
      <c r="P111">
        <f t="shared" si="1"/>
        <v>0.3010299956639812</v>
      </c>
      <c r="Q111">
        <v>125.9679</v>
      </c>
    </row>
    <row r="112" spans="1:17">
      <c r="A112" t="s">
        <v>14</v>
      </c>
      <c r="B112">
        <v>519</v>
      </c>
      <c r="C112" t="s">
        <v>1</v>
      </c>
      <c r="D112">
        <v>2</v>
      </c>
      <c r="E112" s="1">
        <v>1.0621579999999999</v>
      </c>
      <c r="F112" s="2">
        <f>3281-2160</f>
        <v>1121</v>
      </c>
      <c r="G112" s="1">
        <v>0</v>
      </c>
      <c r="H112">
        <v>200.078</v>
      </c>
      <c r="I112">
        <v>125.624</v>
      </c>
      <c r="L112">
        <v>2</v>
      </c>
      <c r="M112">
        <v>126.28270000000001</v>
      </c>
      <c r="P112">
        <f t="shared" si="1"/>
        <v>0.3010299956639812</v>
      </c>
      <c r="Q112">
        <v>125.624</v>
      </c>
    </row>
    <row r="113" spans="1:17">
      <c r="A113" t="s">
        <v>14</v>
      </c>
      <c r="B113">
        <v>519</v>
      </c>
      <c r="C113" t="s">
        <v>1</v>
      </c>
      <c r="D113">
        <v>2</v>
      </c>
      <c r="E113" s="1">
        <v>1.008318</v>
      </c>
      <c r="F113" s="2">
        <f>3057-2074</f>
        <v>983</v>
      </c>
      <c r="G113" s="1">
        <v>2</v>
      </c>
      <c r="H113">
        <v>215.8408</v>
      </c>
      <c r="I113">
        <v>126.28270000000001</v>
      </c>
      <c r="L113">
        <v>2</v>
      </c>
      <c r="M113">
        <v>126.1473</v>
      </c>
      <c r="P113">
        <f t="shared" si="1"/>
        <v>0.3010299956639812</v>
      </c>
      <c r="Q113">
        <v>126.28270000000001</v>
      </c>
    </row>
    <row r="114" spans="1:17">
      <c r="A114" t="s">
        <v>14</v>
      </c>
      <c r="B114">
        <v>519</v>
      </c>
      <c r="C114" t="s">
        <v>1</v>
      </c>
      <c r="D114">
        <v>2</v>
      </c>
      <c r="E114" s="1">
        <v>0.99145700000000003</v>
      </c>
      <c r="F114" s="2">
        <f>2998-2137</f>
        <v>861</v>
      </c>
      <c r="G114" s="1">
        <f>46-34</f>
        <v>12</v>
      </c>
      <c r="H114">
        <v>212.50389999999999</v>
      </c>
      <c r="I114">
        <v>126.1473</v>
      </c>
      <c r="L114">
        <v>2</v>
      </c>
      <c r="M114">
        <v>124.8647</v>
      </c>
      <c r="P114">
        <f t="shared" si="1"/>
        <v>0.3010299956639812</v>
      </c>
      <c r="Q114">
        <v>126.1473</v>
      </c>
    </row>
    <row r="115" spans="1:17">
      <c r="A115" t="s">
        <v>14</v>
      </c>
      <c r="B115">
        <v>519</v>
      </c>
      <c r="C115" t="s">
        <v>1</v>
      </c>
      <c r="D115">
        <v>2</v>
      </c>
      <c r="E115" s="1">
        <v>1.0352969999999999</v>
      </c>
      <c r="F115" s="2">
        <f>3168-2069</f>
        <v>1099</v>
      </c>
      <c r="G115" s="2">
        <f>38-45</f>
        <v>-7</v>
      </c>
      <c r="H115">
        <v>183.33109999999999</v>
      </c>
      <c r="I115">
        <v>124.8647</v>
      </c>
      <c r="L115">
        <v>2</v>
      </c>
      <c r="M115">
        <v>125.88420000000001</v>
      </c>
      <c r="P115">
        <f t="shared" si="1"/>
        <v>0.3010299956639812</v>
      </c>
      <c r="Q115">
        <v>124.8647</v>
      </c>
    </row>
    <row r="116" spans="1:17">
      <c r="A116" t="s">
        <v>14</v>
      </c>
      <c r="B116">
        <v>519</v>
      </c>
      <c r="C116" t="s">
        <v>1</v>
      </c>
      <c r="D116">
        <v>2</v>
      </c>
      <c r="E116" s="1">
        <v>1.065647</v>
      </c>
      <c r="F116" s="2">
        <f>3122-2113</f>
        <v>1009</v>
      </c>
      <c r="G116" s="1">
        <v>0</v>
      </c>
      <c r="H116">
        <v>206.16249999999999</v>
      </c>
      <c r="I116">
        <v>125.88420000000001</v>
      </c>
      <c r="L116">
        <v>2</v>
      </c>
      <c r="M116">
        <v>126.185</v>
      </c>
      <c r="P116">
        <f t="shared" si="1"/>
        <v>0.3010299956639812</v>
      </c>
      <c r="Q116">
        <v>125.88420000000001</v>
      </c>
    </row>
    <row r="117" spans="1:17">
      <c r="A117" t="s">
        <v>14</v>
      </c>
      <c r="B117">
        <v>519</v>
      </c>
      <c r="C117" t="s">
        <v>1</v>
      </c>
      <c r="D117">
        <v>2</v>
      </c>
      <c r="E117" s="1">
        <v>1.6490560000000001</v>
      </c>
      <c r="F117" s="2">
        <f>3148-2118</f>
        <v>1030</v>
      </c>
      <c r="G117" s="1">
        <v>-3</v>
      </c>
      <c r="H117">
        <v>213.4273</v>
      </c>
      <c r="I117">
        <v>126.185</v>
      </c>
      <c r="L117">
        <v>4</v>
      </c>
      <c r="M117">
        <v>126.38120000000001</v>
      </c>
      <c r="P117">
        <f t="shared" si="1"/>
        <v>0.3010299956639812</v>
      </c>
      <c r="Q117">
        <v>126.185</v>
      </c>
    </row>
    <row r="118" spans="1:17">
      <c r="A118" t="s">
        <v>14</v>
      </c>
      <c r="B118">
        <v>519</v>
      </c>
      <c r="C118" t="s">
        <v>1</v>
      </c>
      <c r="D118">
        <v>4</v>
      </c>
      <c r="E118" s="1">
        <v>1.272073</v>
      </c>
      <c r="F118" s="2">
        <f>3137-2089</f>
        <v>1048</v>
      </c>
      <c r="G118" s="1">
        <v>3</v>
      </c>
      <c r="H118">
        <v>218.30199999999999</v>
      </c>
      <c r="I118">
        <v>126.38120000000001</v>
      </c>
      <c r="L118">
        <v>4</v>
      </c>
      <c r="M118">
        <v>126.1164</v>
      </c>
      <c r="P118">
        <f t="shared" si="1"/>
        <v>0.6020599913279624</v>
      </c>
      <c r="Q118">
        <v>126.38120000000001</v>
      </c>
    </row>
    <row r="119" spans="1:17">
      <c r="A119" t="s">
        <v>14</v>
      </c>
      <c r="B119">
        <v>519</v>
      </c>
      <c r="C119" t="s">
        <v>1</v>
      </c>
      <c r="D119">
        <v>4</v>
      </c>
      <c r="E119" s="1">
        <v>1.6187050000000001</v>
      </c>
      <c r="F119" s="2">
        <f>3364-2161</f>
        <v>1203</v>
      </c>
      <c r="G119" s="1">
        <v>5</v>
      </c>
      <c r="H119">
        <v>211.74760000000001</v>
      </c>
      <c r="I119">
        <v>126.1164</v>
      </c>
      <c r="L119">
        <v>3</v>
      </c>
      <c r="M119">
        <v>121.5986</v>
      </c>
      <c r="P119">
        <f t="shared" si="1"/>
        <v>0.6020599913279624</v>
      </c>
      <c r="Q119">
        <v>126.1164</v>
      </c>
    </row>
    <row r="120" spans="1:17">
      <c r="A120" t="s">
        <v>14</v>
      </c>
      <c r="B120">
        <v>519</v>
      </c>
      <c r="C120" t="s">
        <v>1</v>
      </c>
      <c r="D120">
        <v>3</v>
      </c>
      <c r="E120" s="1">
        <v>1.0116909999999999</v>
      </c>
      <c r="F120" s="2">
        <f>3146-2101</f>
        <v>1045</v>
      </c>
      <c r="G120" s="1">
        <v>2</v>
      </c>
      <c r="H120">
        <v>125.8729</v>
      </c>
      <c r="I120">
        <v>121.5986</v>
      </c>
      <c r="L120">
        <v>3</v>
      </c>
      <c r="M120">
        <v>122.2221</v>
      </c>
      <c r="P120">
        <f t="shared" si="1"/>
        <v>0.47712125471966244</v>
      </c>
      <c r="Q120">
        <v>121.5986</v>
      </c>
    </row>
    <row r="121" spans="1:17">
      <c r="A121" t="s">
        <v>14</v>
      </c>
      <c r="B121">
        <v>519</v>
      </c>
      <c r="C121" t="s">
        <v>1</v>
      </c>
      <c r="D121">
        <v>3</v>
      </c>
      <c r="E121" s="1">
        <v>1.0319240000000001</v>
      </c>
      <c r="F121" s="2">
        <f>3526-2373</f>
        <v>1153</v>
      </c>
      <c r="G121" s="1">
        <v>-3</v>
      </c>
      <c r="H121">
        <v>135.23939999999999</v>
      </c>
      <c r="I121">
        <v>122.2221</v>
      </c>
      <c r="L121">
        <v>4</v>
      </c>
      <c r="M121">
        <v>125.42449999999999</v>
      </c>
      <c r="P121">
        <f t="shared" si="1"/>
        <v>0.47712125471966244</v>
      </c>
      <c r="Q121">
        <v>122.2221</v>
      </c>
    </row>
    <row r="122" spans="1:17">
      <c r="A122" t="s">
        <v>14</v>
      </c>
      <c r="B122">
        <v>519</v>
      </c>
      <c r="C122" t="s">
        <v>1</v>
      </c>
      <c r="D122">
        <v>4</v>
      </c>
      <c r="E122" s="1">
        <v>1.0386690000000001</v>
      </c>
      <c r="F122">
        <f>3176-2088</f>
        <v>1088</v>
      </c>
      <c r="G122" s="1">
        <v>-4</v>
      </c>
      <c r="H122">
        <v>195.53530000000001</v>
      </c>
      <c r="I122">
        <v>125.42449999999999</v>
      </c>
      <c r="L122">
        <v>3</v>
      </c>
      <c r="M122">
        <v>124.3117</v>
      </c>
      <c r="P122">
        <f t="shared" si="1"/>
        <v>0.6020599913279624</v>
      </c>
      <c r="Q122">
        <v>125.42449999999999</v>
      </c>
    </row>
    <row r="123" spans="1:17">
      <c r="A123" t="s">
        <v>14</v>
      </c>
      <c r="B123">
        <v>519</v>
      </c>
      <c r="C123" t="s">
        <v>1</v>
      </c>
      <c r="D123">
        <v>3</v>
      </c>
      <c r="E123" s="1">
        <v>0.96110600000000002</v>
      </c>
      <c r="F123">
        <f>3064-2040</f>
        <v>1024</v>
      </c>
      <c r="G123" s="1">
        <v>-10</v>
      </c>
      <c r="H123">
        <v>172.0232</v>
      </c>
      <c r="I123">
        <v>124.3117</v>
      </c>
      <c r="L123">
        <v>1</v>
      </c>
      <c r="M123">
        <v>123.78230000000001</v>
      </c>
      <c r="P123">
        <f t="shared" si="1"/>
        <v>0.47712125471966244</v>
      </c>
      <c r="Q123">
        <v>124.3117</v>
      </c>
    </row>
    <row r="124" spans="1:17">
      <c r="A124" t="s">
        <v>14</v>
      </c>
      <c r="B124">
        <v>519</v>
      </c>
      <c r="C124" t="s">
        <v>1</v>
      </c>
      <c r="D124">
        <v>1</v>
      </c>
      <c r="E124" s="1">
        <v>1.0926260000000001</v>
      </c>
      <c r="F124">
        <f>3185-2135</f>
        <v>1050</v>
      </c>
      <c r="G124" s="1">
        <v>-4</v>
      </c>
      <c r="H124">
        <v>161.85169999999999</v>
      </c>
      <c r="I124">
        <v>123.78230000000001</v>
      </c>
      <c r="L124">
        <v>2</v>
      </c>
      <c r="M124">
        <v>122.5763</v>
      </c>
      <c r="P124">
        <f t="shared" si="1"/>
        <v>0</v>
      </c>
      <c r="Q124">
        <v>123.78230000000001</v>
      </c>
    </row>
    <row r="125" spans="1:17">
      <c r="A125" t="s">
        <v>14</v>
      </c>
      <c r="B125">
        <v>519</v>
      </c>
      <c r="C125" t="s">
        <v>1</v>
      </c>
      <c r="D125">
        <v>2</v>
      </c>
      <c r="E125" s="1">
        <v>0.88691500000000001</v>
      </c>
      <c r="F125">
        <f>3339-2220</f>
        <v>1119</v>
      </c>
      <c r="G125" s="1">
        <v>8</v>
      </c>
      <c r="H125">
        <v>140.86930000000001</v>
      </c>
      <c r="I125">
        <v>122.5763</v>
      </c>
      <c r="L125">
        <v>2</v>
      </c>
      <c r="M125">
        <v>125.99630000000001</v>
      </c>
      <c r="P125">
        <f t="shared" si="1"/>
        <v>0.3010299956639812</v>
      </c>
      <c r="Q125">
        <v>122.5763</v>
      </c>
    </row>
    <row r="126" spans="1:17">
      <c r="A126" t="s">
        <v>14</v>
      </c>
      <c r="B126">
        <v>519</v>
      </c>
      <c r="C126" t="s">
        <v>1</v>
      </c>
      <c r="D126">
        <v>2</v>
      </c>
      <c r="E126" s="1">
        <v>0.92738299999999996</v>
      </c>
      <c r="F126">
        <f>2998-2004</f>
        <v>994</v>
      </c>
      <c r="G126" s="1">
        <v>2</v>
      </c>
      <c r="H126">
        <v>208.84049999999999</v>
      </c>
      <c r="I126">
        <v>125.99630000000001</v>
      </c>
      <c r="L126">
        <v>2</v>
      </c>
      <c r="M126">
        <v>124.5711</v>
      </c>
      <c r="P126">
        <f t="shared" si="1"/>
        <v>0.3010299956639812</v>
      </c>
      <c r="Q126">
        <v>125.99630000000001</v>
      </c>
    </row>
    <row r="127" spans="1:17">
      <c r="A127" t="s">
        <v>14</v>
      </c>
      <c r="B127">
        <v>519</v>
      </c>
      <c r="C127" t="s">
        <v>1</v>
      </c>
      <c r="D127">
        <v>2</v>
      </c>
      <c r="E127" s="1">
        <v>0.85993699999999995</v>
      </c>
      <c r="F127">
        <f>2766-2194</f>
        <v>572</v>
      </c>
      <c r="G127" s="1">
        <v>2</v>
      </c>
      <c r="H127">
        <v>177.2379</v>
      </c>
      <c r="I127">
        <v>124.5711</v>
      </c>
      <c r="L127">
        <v>2</v>
      </c>
      <c r="M127">
        <v>125.2975</v>
      </c>
      <c r="P127">
        <f t="shared" si="1"/>
        <v>0.3010299956639812</v>
      </c>
      <c r="Q127">
        <v>124.5711</v>
      </c>
    </row>
    <row r="128" spans="1:17">
      <c r="A128" t="s">
        <v>14</v>
      </c>
      <c r="B128">
        <v>519</v>
      </c>
      <c r="C128" t="s">
        <v>1</v>
      </c>
      <c r="D128">
        <v>2</v>
      </c>
      <c r="E128" s="1">
        <v>0.97122299999999995</v>
      </c>
      <c r="F128">
        <f>3181-2147</f>
        <v>1034</v>
      </c>
      <c r="G128" s="1">
        <v>5</v>
      </c>
      <c r="H128">
        <v>192.69640000000001</v>
      </c>
      <c r="I128">
        <v>125.2975</v>
      </c>
      <c r="L128">
        <v>2</v>
      </c>
      <c r="M128">
        <v>125.95820000000001</v>
      </c>
      <c r="P128">
        <f t="shared" si="1"/>
        <v>0.3010299956639812</v>
      </c>
      <c r="Q128">
        <v>125.2975</v>
      </c>
    </row>
    <row r="129" spans="1:17">
      <c r="A129" t="s">
        <v>14</v>
      </c>
      <c r="B129">
        <v>519</v>
      </c>
      <c r="C129" t="s">
        <v>1</v>
      </c>
      <c r="D129">
        <v>2</v>
      </c>
      <c r="E129" s="1">
        <v>1.4163669999999999</v>
      </c>
      <c r="F129">
        <f>3212-2083</f>
        <v>1129</v>
      </c>
      <c r="G129">
        <f>33-41</f>
        <v>-8</v>
      </c>
      <c r="H129">
        <v>207.92590000000001</v>
      </c>
      <c r="I129">
        <v>125.95820000000001</v>
      </c>
      <c r="L129">
        <v>2</v>
      </c>
      <c r="M129">
        <v>124.60339999999999</v>
      </c>
      <c r="P129">
        <f t="shared" si="1"/>
        <v>0.3010299956639812</v>
      </c>
      <c r="Q129">
        <v>125.95820000000001</v>
      </c>
    </row>
    <row r="130" spans="1:17">
      <c r="A130" t="s">
        <v>14</v>
      </c>
      <c r="B130">
        <v>519</v>
      </c>
      <c r="C130" t="s">
        <v>1</v>
      </c>
      <c r="D130">
        <v>2</v>
      </c>
      <c r="E130" s="1">
        <v>0.98471200000000003</v>
      </c>
      <c r="F130">
        <f>3598-2729</f>
        <v>869</v>
      </c>
      <c r="G130">
        <v>2</v>
      </c>
      <c r="H130">
        <v>177.89840000000001</v>
      </c>
      <c r="I130">
        <v>124.60339999999999</v>
      </c>
      <c r="L130">
        <v>2</v>
      </c>
      <c r="M130">
        <v>125.84350000000001</v>
      </c>
      <c r="P130">
        <f t="shared" si="1"/>
        <v>0.3010299956639812</v>
      </c>
      <c r="Q130">
        <v>124.60339999999999</v>
      </c>
    </row>
    <row r="131" spans="1:17">
      <c r="A131" t="s">
        <v>14</v>
      </c>
      <c r="B131">
        <v>519</v>
      </c>
      <c r="C131" t="s">
        <v>1</v>
      </c>
      <c r="D131">
        <v>2</v>
      </c>
      <c r="E131" s="1">
        <v>1.0757639999999999</v>
      </c>
      <c r="F131">
        <f>3033-2014</f>
        <v>1019</v>
      </c>
      <c r="G131">
        <v>5</v>
      </c>
      <c r="H131">
        <v>205.19929999999999</v>
      </c>
      <c r="I131">
        <v>125.84350000000001</v>
      </c>
      <c r="L131">
        <v>1</v>
      </c>
      <c r="M131">
        <v>120.84829999999999</v>
      </c>
      <c r="P131">
        <f t="shared" ref="P131:P142" si="2">LOG10(D131)</f>
        <v>0.3010299956639812</v>
      </c>
      <c r="Q131">
        <v>125.84350000000001</v>
      </c>
    </row>
    <row r="132" spans="1:17">
      <c r="A132" t="s">
        <v>14</v>
      </c>
      <c r="B132">
        <v>519</v>
      </c>
      <c r="C132" t="s">
        <v>1</v>
      </c>
      <c r="D132">
        <v>1</v>
      </c>
      <c r="E132" s="1">
        <v>0.98808499999999999</v>
      </c>
      <c r="F132">
        <f>3150-2108</f>
        <v>1042</v>
      </c>
      <c r="G132">
        <f>39-48</f>
        <v>-9</v>
      </c>
      <c r="H132">
        <v>115.45569999999999</v>
      </c>
      <c r="I132">
        <v>120.84829999999999</v>
      </c>
      <c r="L132">
        <v>1</v>
      </c>
      <c r="M132">
        <v>121.4308</v>
      </c>
      <c r="P132">
        <f t="shared" si="2"/>
        <v>0</v>
      </c>
      <c r="Q132">
        <v>120.84829999999999</v>
      </c>
    </row>
    <row r="133" spans="1:17">
      <c r="A133" t="s">
        <v>14</v>
      </c>
      <c r="B133">
        <v>519</v>
      </c>
      <c r="C133" t="s">
        <v>1</v>
      </c>
      <c r="D133">
        <v>1</v>
      </c>
      <c r="E133" s="1">
        <v>0.92738299999999996</v>
      </c>
      <c r="F133">
        <f>3230-2105</f>
        <v>1125</v>
      </c>
      <c r="G133">
        <v>-4</v>
      </c>
      <c r="H133">
        <v>123.4641</v>
      </c>
      <c r="I133">
        <v>121.4308</v>
      </c>
      <c r="L133">
        <v>1</v>
      </c>
      <c r="M133">
        <v>121.8107</v>
      </c>
      <c r="P133">
        <f t="shared" si="2"/>
        <v>0</v>
      </c>
      <c r="Q133">
        <v>121.4308</v>
      </c>
    </row>
    <row r="134" spans="1:17">
      <c r="A134" t="s">
        <v>14</v>
      </c>
      <c r="B134">
        <v>519</v>
      </c>
      <c r="C134" t="s">
        <v>1</v>
      </c>
      <c r="D134">
        <v>1</v>
      </c>
      <c r="E134" s="1">
        <v>1.102743</v>
      </c>
      <c r="F134">
        <f>3032-2050</f>
        <v>982</v>
      </c>
      <c r="G134">
        <v>4</v>
      </c>
      <c r="H134">
        <v>128.9838</v>
      </c>
      <c r="I134">
        <v>121.8107</v>
      </c>
      <c r="L134">
        <v>5</v>
      </c>
      <c r="M134" s="3">
        <v>127.9624</v>
      </c>
      <c r="P134">
        <f t="shared" si="2"/>
        <v>0</v>
      </c>
      <c r="Q134">
        <v>121.8107</v>
      </c>
    </row>
    <row r="135" spans="1:17">
      <c r="A135" t="s">
        <v>14</v>
      </c>
      <c r="B135">
        <v>514</v>
      </c>
      <c r="C135" t="s">
        <v>2</v>
      </c>
      <c r="D135">
        <v>5</v>
      </c>
      <c r="E135" s="1">
        <v>1.5109710000000001</v>
      </c>
      <c r="F135">
        <f>4395-3278</f>
        <v>1117</v>
      </c>
      <c r="G135">
        <f>23-39</f>
        <v>-16</v>
      </c>
      <c r="H135" s="3">
        <v>261.89170000000001</v>
      </c>
      <c r="I135" s="3">
        <v>127.9624</v>
      </c>
      <c r="L135">
        <v>5</v>
      </c>
      <c r="M135" s="3">
        <v>126.8956</v>
      </c>
      <c r="N135" s="3"/>
      <c r="P135">
        <f t="shared" si="2"/>
        <v>0.69897000433601886</v>
      </c>
      <c r="Q135" s="3">
        <v>127.9624</v>
      </c>
    </row>
    <row r="136" spans="1:17">
      <c r="A136" t="s">
        <v>14</v>
      </c>
      <c r="B136">
        <v>514</v>
      </c>
      <c r="C136" t="s">
        <v>2</v>
      </c>
      <c r="D136">
        <v>5</v>
      </c>
      <c r="E136" s="1">
        <v>1.0319240000000001</v>
      </c>
      <c r="F136">
        <f>3244-2142</f>
        <v>1102</v>
      </c>
      <c r="G136">
        <v>-2</v>
      </c>
      <c r="H136" s="3">
        <v>231.62129999999999</v>
      </c>
      <c r="I136" s="3">
        <v>126.8956</v>
      </c>
      <c r="L136">
        <v>5</v>
      </c>
      <c r="M136" s="3">
        <v>124.526</v>
      </c>
      <c r="N136" s="3"/>
      <c r="P136">
        <f t="shared" si="2"/>
        <v>0.69897000433601886</v>
      </c>
      <c r="Q136" s="3">
        <v>126.8956</v>
      </c>
    </row>
    <row r="137" spans="1:17">
      <c r="A137" t="s">
        <v>14</v>
      </c>
      <c r="B137">
        <v>514</v>
      </c>
      <c r="C137" t="s">
        <v>2</v>
      </c>
      <c r="D137">
        <v>5</v>
      </c>
      <c r="E137" s="1">
        <v>1.294964</v>
      </c>
      <c r="F137">
        <f>3221-2299</f>
        <v>922</v>
      </c>
      <c r="G137">
        <v>-4</v>
      </c>
      <c r="H137" s="3">
        <v>176.31989999999999</v>
      </c>
      <c r="I137" s="3">
        <v>124.526</v>
      </c>
      <c r="L137">
        <v>5</v>
      </c>
      <c r="M137" s="3">
        <v>124.11499999999999</v>
      </c>
      <c r="N137" s="3"/>
      <c r="P137">
        <f t="shared" si="2"/>
        <v>0.69897000433601886</v>
      </c>
      <c r="Q137" s="3">
        <v>124.526</v>
      </c>
    </row>
    <row r="138" spans="1:17">
      <c r="A138" t="s">
        <v>14</v>
      </c>
      <c r="B138">
        <v>514</v>
      </c>
      <c r="C138" t="s">
        <v>2</v>
      </c>
      <c r="D138">
        <v>5</v>
      </c>
      <c r="E138" s="1">
        <v>0.80598000000000003</v>
      </c>
      <c r="F138">
        <f>3662-2216</f>
        <v>1446</v>
      </c>
      <c r="G138">
        <v>2</v>
      </c>
      <c r="H138" s="3">
        <v>168.1703</v>
      </c>
      <c r="I138" s="3">
        <v>124.11499999999999</v>
      </c>
      <c r="L138">
        <v>5</v>
      </c>
      <c r="M138" s="3">
        <v>123.9854</v>
      </c>
      <c r="N138" s="3"/>
      <c r="P138">
        <f t="shared" si="2"/>
        <v>0.69897000433601886</v>
      </c>
      <c r="Q138" s="3">
        <v>124.11499999999999</v>
      </c>
    </row>
    <row r="139" spans="1:17">
      <c r="A139" t="s">
        <v>14</v>
      </c>
      <c r="B139">
        <v>514</v>
      </c>
      <c r="C139" t="s">
        <v>2</v>
      </c>
      <c r="D139">
        <v>5</v>
      </c>
      <c r="E139" s="1">
        <v>0.88354299999999997</v>
      </c>
      <c r="F139">
        <f>3240-2121</f>
        <v>1119</v>
      </c>
      <c r="G139">
        <v>-20</v>
      </c>
      <c r="H139" s="3">
        <v>165.6798</v>
      </c>
      <c r="I139" s="3">
        <v>123.9854</v>
      </c>
      <c r="L139">
        <v>5</v>
      </c>
      <c r="M139" s="3">
        <v>123.831</v>
      </c>
      <c r="N139" s="3"/>
      <c r="P139">
        <f t="shared" si="2"/>
        <v>0.69897000433601886</v>
      </c>
      <c r="Q139" s="3">
        <v>123.9854</v>
      </c>
    </row>
    <row r="140" spans="1:17">
      <c r="A140" t="s">
        <v>14</v>
      </c>
      <c r="B140">
        <v>514</v>
      </c>
      <c r="C140" t="s">
        <v>2</v>
      </c>
      <c r="D140">
        <v>5</v>
      </c>
      <c r="E140" s="1">
        <v>1.133094</v>
      </c>
      <c r="F140">
        <f>3088-2050</f>
        <v>1038</v>
      </c>
      <c r="G140">
        <v>-2</v>
      </c>
      <c r="H140" s="3">
        <v>162.76159999999999</v>
      </c>
      <c r="I140" s="3">
        <v>123.831</v>
      </c>
      <c r="L140">
        <v>5</v>
      </c>
      <c r="M140" s="3">
        <v>122.3481</v>
      </c>
      <c r="N140" s="3"/>
      <c r="P140">
        <f t="shared" si="2"/>
        <v>0.69897000433601886</v>
      </c>
      <c r="Q140" s="3">
        <v>123.831</v>
      </c>
    </row>
    <row r="141" spans="1:17">
      <c r="A141" t="s">
        <v>14</v>
      </c>
      <c r="B141">
        <v>514</v>
      </c>
      <c r="C141" t="s">
        <v>2</v>
      </c>
      <c r="D141">
        <v>5</v>
      </c>
      <c r="E141" s="1">
        <v>0.86330899999999999</v>
      </c>
      <c r="F141">
        <f>3502-2654</f>
        <v>848</v>
      </c>
      <c r="G141">
        <v>1</v>
      </c>
      <c r="H141" s="3">
        <v>137.21680000000001</v>
      </c>
      <c r="I141" s="3">
        <v>122.3481</v>
      </c>
      <c r="L141">
        <v>5</v>
      </c>
      <c r="M141" s="3">
        <v>121.94889999999999</v>
      </c>
      <c r="N141" s="3"/>
      <c r="P141">
        <f t="shared" si="2"/>
        <v>0.69897000433601886</v>
      </c>
      <c r="Q141" s="3">
        <v>122.3481</v>
      </c>
    </row>
    <row r="142" spans="1:17">
      <c r="A142" t="s">
        <v>14</v>
      </c>
      <c r="B142">
        <v>514</v>
      </c>
      <c r="C142" t="s">
        <v>2</v>
      </c>
      <c r="D142">
        <v>5</v>
      </c>
      <c r="E142" s="1">
        <v>0.83970299999999998</v>
      </c>
      <c r="F142">
        <f>3410-2269</f>
        <v>1141</v>
      </c>
      <c r="G142">
        <v>0</v>
      </c>
      <c r="H142" s="3">
        <v>131.05289999999999</v>
      </c>
      <c r="I142" s="3">
        <v>121.94889999999999</v>
      </c>
      <c r="M142" s="1"/>
      <c r="N142" s="3"/>
      <c r="P142">
        <f t="shared" si="2"/>
        <v>0.69897000433601886</v>
      </c>
      <c r="Q142" s="3">
        <v>121.94889999999999</v>
      </c>
    </row>
  </sheetData>
  <sortState ref="A2:I142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I1:U142"/>
  <sheetViews>
    <sheetView workbookViewId="0">
      <selection activeCell="I60" sqref="I60"/>
    </sheetView>
  </sheetViews>
  <sheetFormatPr defaultRowHeight="15"/>
  <sheetData>
    <row r="1" spans="9:21">
      <c r="P1" t="s">
        <v>65</v>
      </c>
      <c r="Q1" t="s">
        <v>66</v>
      </c>
      <c r="R1" t="s">
        <v>65</v>
      </c>
      <c r="S1" s="1" t="s">
        <v>6</v>
      </c>
      <c r="T1" t="s">
        <v>65</v>
      </c>
      <c r="U1" s="1" t="s">
        <v>7</v>
      </c>
    </row>
    <row r="2" spans="9:21">
      <c r="I2" s="2" t="s">
        <v>63</v>
      </c>
      <c r="J2" s="1" t="s">
        <v>64</v>
      </c>
      <c r="L2">
        <v>122.7002</v>
      </c>
      <c r="M2" s="3">
        <v>130.86519999999999</v>
      </c>
      <c r="P2">
        <v>122.7002</v>
      </c>
      <c r="Q2">
        <v>1.0690200000000001</v>
      </c>
      <c r="R2">
        <v>122.7002</v>
      </c>
      <c r="S2">
        <f>3302-2021</f>
        <v>1281</v>
      </c>
      <c r="T2">
        <v>122.7002</v>
      </c>
      <c r="U2">
        <v>3</v>
      </c>
    </row>
    <row r="3" spans="9:21">
      <c r="I3" s="1">
        <f>AVERAGE(L2:L55)</f>
        <v>123.92842222222225</v>
      </c>
      <c r="J3" s="23">
        <f>AVERAGE(M2:M88)</f>
        <v>125.07341839080459</v>
      </c>
      <c r="L3">
        <v>125.5823</v>
      </c>
      <c r="M3" s="3">
        <v>121.0628</v>
      </c>
      <c r="P3">
        <v>125.5823</v>
      </c>
      <c r="Q3">
        <v>1.153327</v>
      </c>
      <c r="R3">
        <v>125.5823</v>
      </c>
      <c r="S3">
        <f>3275-2196</f>
        <v>1079</v>
      </c>
      <c r="T3">
        <v>125.5823</v>
      </c>
      <c r="U3">
        <v>8</v>
      </c>
    </row>
    <row r="4" spans="9:21">
      <c r="I4" s="1">
        <f>STDEV(L2:L55)</f>
        <v>2.8178485893172578</v>
      </c>
      <c r="J4" s="1">
        <f>STDEV(M2:M88)</f>
        <v>2.4577797391949847</v>
      </c>
      <c r="L4">
        <v>126.9569</v>
      </c>
      <c r="M4" s="3">
        <v>120.6767</v>
      </c>
      <c r="P4">
        <v>126.9569</v>
      </c>
      <c r="Q4">
        <v>1.214029</v>
      </c>
      <c r="R4">
        <v>126.9569</v>
      </c>
      <c r="S4">
        <f>3146-2105</f>
        <v>1041</v>
      </c>
      <c r="T4">
        <v>126.9569</v>
      </c>
      <c r="U4">
        <v>-1</v>
      </c>
    </row>
    <row r="5" spans="9:21">
      <c r="I5" s="1">
        <f>CONFIDENCE(0.05,I4,54)</f>
        <v>0.75156901081414229</v>
      </c>
      <c r="J5" s="1">
        <f>CONFIDENCE(0.05,J4,87)</f>
        <v>0.51645373725421684</v>
      </c>
      <c r="L5">
        <v>127.4041</v>
      </c>
      <c r="M5" s="3">
        <v>120.0543</v>
      </c>
      <c r="P5">
        <v>127.4041</v>
      </c>
      <c r="Q5">
        <v>1.0589029999999999</v>
      </c>
      <c r="R5">
        <v>127.4041</v>
      </c>
      <c r="S5">
        <f>3143-2101</f>
        <v>1042</v>
      </c>
      <c r="T5">
        <v>127.4041</v>
      </c>
      <c r="U5">
        <v>4</v>
      </c>
    </row>
    <row r="6" spans="9:21">
      <c r="L6">
        <v>126.30629999999999</v>
      </c>
      <c r="M6" s="3">
        <v>120.1511</v>
      </c>
      <c r="P6">
        <v>126.30629999999999</v>
      </c>
      <c r="Q6">
        <v>0.85993699999999995</v>
      </c>
      <c r="R6">
        <v>126.30629999999999</v>
      </c>
      <c r="S6">
        <f>3223-2131</f>
        <v>1092</v>
      </c>
      <c r="T6">
        <v>126.30629999999999</v>
      </c>
      <c r="U6">
        <f>36-27</f>
        <v>9</v>
      </c>
    </row>
    <row r="7" spans="9:21">
      <c r="L7">
        <v>128.29949999999999</v>
      </c>
      <c r="M7" s="3">
        <v>130.71860000000001</v>
      </c>
      <c r="P7">
        <v>128.29949999999999</v>
      </c>
      <c r="Q7">
        <v>1.1162319999999999</v>
      </c>
      <c r="R7">
        <v>128.29949999999999</v>
      </c>
      <c r="S7">
        <f>3200-2133</f>
        <v>1067</v>
      </c>
      <c r="T7">
        <v>128.29949999999999</v>
      </c>
      <c r="U7">
        <f>41-34</f>
        <v>7</v>
      </c>
    </row>
    <row r="8" spans="9:21">
      <c r="L8">
        <v>125.61060000000001</v>
      </c>
      <c r="M8" s="3">
        <v>131.0026</v>
      </c>
      <c r="P8">
        <v>125.61060000000001</v>
      </c>
      <c r="Q8">
        <v>0.99482899999999996</v>
      </c>
      <c r="R8">
        <v>125.61060000000001</v>
      </c>
      <c r="S8">
        <f>3228-2177</f>
        <v>1051</v>
      </c>
      <c r="T8">
        <v>125.61060000000001</v>
      </c>
      <c r="U8">
        <v>-3</v>
      </c>
    </row>
    <row r="9" spans="9:21">
      <c r="L9">
        <v>126.1934</v>
      </c>
      <c r="M9" s="3">
        <v>129.2636</v>
      </c>
      <c r="P9">
        <v>126.1934</v>
      </c>
      <c r="Q9">
        <v>0.96110600000000002</v>
      </c>
      <c r="R9">
        <v>126.1934</v>
      </c>
      <c r="S9">
        <f>3238-2157</f>
        <v>1081</v>
      </c>
      <c r="T9">
        <v>126.1934</v>
      </c>
      <c r="U9">
        <v>-3</v>
      </c>
    </row>
    <row r="10" spans="9:21">
      <c r="L10">
        <v>126.4278</v>
      </c>
      <c r="M10" s="3">
        <v>130.0874</v>
      </c>
      <c r="P10">
        <v>126.4278</v>
      </c>
      <c r="Q10">
        <v>1.079137</v>
      </c>
      <c r="R10">
        <v>126.4278</v>
      </c>
      <c r="S10">
        <f>3197-2116</f>
        <v>1081</v>
      </c>
      <c r="T10">
        <v>126.4278</v>
      </c>
      <c r="U10">
        <v>4</v>
      </c>
    </row>
    <row r="11" spans="9:21">
      <c r="L11">
        <v>128.21360000000001</v>
      </c>
      <c r="M11" s="3">
        <v>125.69</v>
      </c>
      <c r="P11">
        <v>128.21360000000001</v>
      </c>
      <c r="Q11">
        <v>1.237635</v>
      </c>
      <c r="R11">
        <v>128.21360000000001</v>
      </c>
      <c r="S11">
        <f>3143-2066</f>
        <v>1077</v>
      </c>
      <c r="T11">
        <v>128.21360000000001</v>
      </c>
      <c r="U11">
        <v>5</v>
      </c>
    </row>
    <row r="12" spans="9:21">
      <c r="L12">
        <v>127.9479</v>
      </c>
      <c r="M12" s="3">
        <v>125.7621</v>
      </c>
      <c r="P12">
        <v>127.9479</v>
      </c>
      <c r="Q12">
        <v>0.91052200000000005</v>
      </c>
      <c r="R12">
        <v>127.9479</v>
      </c>
      <c r="S12">
        <f>3251-2284</f>
        <v>967</v>
      </c>
      <c r="T12">
        <v>127.9479</v>
      </c>
      <c r="U12">
        <v>-3</v>
      </c>
    </row>
    <row r="13" spans="9:21">
      <c r="L13">
        <v>124.1948</v>
      </c>
      <c r="M13" s="3">
        <v>126.2564</v>
      </c>
      <c r="P13">
        <v>124.1948</v>
      </c>
      <c r="Q13">
        <v>1.136466</v>
      </c>
      <c r="R13">
        <v>124.1948</v>
      </c>
      <c r="S13">
        <f>3186-2116</f>
        <v>1070</v>
      </c>
      <c r="T13">
        <v>124.1948</v>
      </c>
      <c r="U13">
        <f>42-36</f>
        <v>6</v>
      </c>
    </row>
    <row r="14" spans="9:21">
      <c r="L14">
        <v>124.9161</v>
      </c>
      <c r="M14" s="3">
        <v>127.0142</v>
      </c>
      <c r="P14">
        <v>124.9161</v>
      </c>
      <c r="Q14">
        <v>1.0993710000000001</v>
      </c>
      <c r="R14">
        <v>124.9161</v>
      </c>
      <c r="S14">
        <f>3188-2144</f>
        <v>1044</v>
      </c>
      <c r="T14">
        <v>124.9161</v>
      </c>
      <c r="U14">
        <v>-3</v>
      </c>
    </row>
    <row r="15" spans="9:21">
      <c r="L15">
        <v>125.164</v>
      </c>
      <c r="M15" s="3">
        <v>128.0283</v>
      </c>
      <c r="P15">
        <v>125.164</v>
      </c>
      <c r="Q15">
        <v>0.85319199999999995</v>
      </c>
      <c r="R15">
        <v>125.164</v>
      </c>
      <c r="S15">
        <f>3072-2125</f>
        <v>947</v>
      </c>
      <c r="T15">
        <v>125.164</v>
      </c>
      <c r="U15">
        <v>0</v>
      </c>
    </row>
    <row r="16" spans="9:21">
      <c r="L16">
        <v>123.9641</v>
      </c>
      <c r="M16" s="3">
        <v>122.8601</v>
      </c>
      <c r="P16">
        <v>123.9641</v>
      </c>
      <c r="Q16">
        <v>0.89366000000000001</v>
      </c>
      <c r="R16">
        <v>123.9641</v>
      </c>
      <c r="S16">
        <f>3258-2140</f>
        <v>1118</v>
      </c>
      <c r="T16">
        <v>123.9641</v>
      </c>
      <c r="U16">
        <v>3</v>
      </c>
    </row>
    <row r="17" spans="12:21">
      <c r="L17">
        <v>124.19970000000001</v>
      </c>
      <c r="M17" s="3">
        <v>124.1587</v>
      </c>
      <c r="P17">
        <v>124.19970000000001</v>
      </c>
      <c r="Q17">
        <v>1.02518</v>
      </c>
      <c r="R17">
        <v>124.19970000000001</v>
      </c>
      <c r="S17">
        <f>3157-2118</f>
        <v>1039</v>
      </c>
      <c r="T17">
        <v>124.19970000000001</v>
      </c>
      <c r="U17">
        <v>-3</v>
      </c>
    </row>
    <row r="18" spans="12:21">
      <c r="L18">
        <v>121.34910000000001</v>
      </c>
      <c r="M18" s="3">
        <v>125.72499999999999</v>
      </c>
      <c r="P18">
        <v>121.34910000000001</v>
      </c>
      <c r="Q18">
        <v>1.0116909999999999</v>
      </c>
      <c r="R18">
        <v>121.34910000000001</v>
      </c>
      <c r="S18">
        <f>3255-2165</f>
        <v>1090</v>
      </c>
      <c r="T18">
        <v>121.34910000000001</v>
      </c>
      <c r="U18">
        <v>5</v>
      </c>
    </row>
    <row r="19" spans="12:21">
      <c r="L19">
        <v>125.6327</v>
      </c>
      <c r="M19" s="3">
        <v>123.25700000000001</v>
      </c>
      <c r="P19">
        <v>125.6327</v>
      </c>
      <c r="Q19">
        <v>1.048786</v>
      </c>
      <c r="R19">
        <v>125.6327</v>
      </c>
      <c r="S19">
        <f>3231-2257</f>
        <v>974</v>
      </c>
      <c r="T19">
        <v>125.6327</v>
      </c>
      <c r="U19">
        <f>33-41</f>
        <v>-8</v>
      </c>
    </row>
    <row r="20" spans="12:21">
      <c r="L20">
        <v>122.7347</v>
      </c>
      <c r="M20" s="3">
        <v>127.4619</v>
      </c>
      <c r="P20">
        <v>122.7347</v>
      </c>
      <c r="Q20">
        <v>1.0757639999999999</v>
      </c>
      <c r="R20">
        <v>122.7347</v>
      </c>
      <c r="S20">
        <f>3175-2108</f>
        <v>1067</v>
      </c>
      <c r="T20">
        <v>122.7347</v>
      </c>
      <c r="U20">
        <v>-1</v>
      </c>
    </row>
    <row r="21" spans="12:21">
      <c r="L21">
        <v>123.63890000000001</v>
      </c>
      <c r="M21" s="3">
        <v>127.48139999999999</v>
      </c>
      <c r="P21">
        <v>123.63890000000001</v>
      </c>
      <c r="Q21" s="1">
        <v>1.0690200000000001</v>
      </c>
      <c r="R21">
        <v>123.63890000000001</v>
      </c>
      <c r="S21" s="2">
        <f>3117-2081</f>
        <v>1036</v>
      </c>
      <c r="T21">
        <v>123.63890000000001</v>
      </c>
      <c r="U21" s="1">
        <v>-5</v>
      </c>
    </row>
    <row r="22" spans="12:21">
      <c r="L22">
        <v>119.4513</v>
      </c>
      <c r="M22" s="3">
        <v>127.37130000000001</v>
      </c>
      <c r="P22">
        <v>119.4513</v>
      </c>
      <c r="Q22" s="1">
        <v>1.008318</v>
      </c>
      <c r="R22">
        <v>119.4513</v>
      </c>
      <c r="S22" s="2">
        <f>3167-2127</f>
        <v>1040</v>
      </c>
      <c r="T22">
        <v>119.4513</v>
      </c>
      <c r="U22" s="1">
        <f>42-48</f>
        <v>-6</v>
      </c>
    </row>
    <row r="23" spans="12:21">
      <c r="L23">
        <v>124.56950000000001</v>
      </c>
      <c r="M23" s="3">
        <v>127.78149999999999</v>
      </c>
      <c r="P23">
        <v>124.56950000000001</v>
      </c>
      <c r="Q23">
        <v>0.92401100000000003</v>
      </c>
      <c r="R23">
        <v>124.56950000000001</v>
      </c>
      <c r="S23">
        <f>3307-2194</f>
        <v>1113</v>
      </c>
      <c r="T23">
        <v>124.56950000000001</v>
      </c>
      <c r="U23" s="4">
        <f>44-48</f>
        <v>-4</v>
      </c>
    </row>
    <row r="24" spans="12:21">
      <c r="L24">
        <v>120.4209</v>
      </c>
      <c r="M24" s="3">
        <v>127.10129999999999</v>
      </c>
      <c r="P24">
        <v>120.4209</v>
      </c>
      <c r="Q24">
        <v>0.90040500000000001</v>
      </c>
      <c r="R24">
        <v>120.4209</v>
      </c>
      <c r="S24">
        <f>3161-2145</f>
        <v>1016</v>
      </c>
      <c r="T24">
        <v>120.4209</v>
      </c>
      <c r="U24" s="4">
        <f>41-39</f>
        <v>2</v>
      </c>
    </row>
    <row r="25" spans="12:21">
      <c r="L25">
        <v>124.4093</v>
      </c>
      <c r="M25" s="3">
        <v>128.71019999999999</v>
      </c>
      <c r="P25">
        <v>124.4093</v>
      </c>
      <c r="Q25">
        <v>0.91052200000000005</v>
      </c>
      <c r="R25">
        <v>124.4093</v>
      </c>
      <c r="S25">
        <f>3228-2193</f>
        <v>1035</v>
      </c>
      <c r="T25">
        <v>124.4093</v>
      </c>
      <c r="U25" s="4">
        <f>44-43</f>
        <v>1</v>
      </c>
    </row>
    <row r="26" spans="12:21">
      <c r="L26">
        <v>124.3347</v>
      </c>
      <c r="M26" s="3">
        <v>128.72919999999999</v>
      </c>
      <c r="P26">
        <v>124.3347</v>
      </c>
      <c r="Q26" s="1">
        <v>0.97122299999999995</v>
      </c>
      <c r="R26">
        <v>124.3347</v>
      </c>
      <c r="S26" s="2">
        <f>3217-2166</f>
        <v>1051</v>
      </c>
      <c r="T26">
        <v>124.3347</v>
      </c>
      <c r="U26" s="1">
        <v>3</v>
      </c>
    </row>
    <row r="27" spans="12:21">
      <c r="L27">
        <v>124.14409999999999</v>
      </c>
      <c r="M27">
        <v>124.00409999999999</v>
      </c>
      <c r="P27">
        <v>124.14409999999999</v>
      </c>
      <c r="Q27" s="1">
        <v>0.86330899999999999</v>
      </c>
      <c r="R27">
        <v>124.14409999999999</v>
      </c>
      <c r="S27" s="2">
        <f>3168-2087</f>
        <v>1081</v>
      </c>
      <c r="T27">
        <v>124.14409999999999</v>
      </c>
      <c r="U27" s="1">
        <v>-1</v>
      </c>
    </row>
    <row r="28" spans="12:21">
      <c r="L28">
        <v>124.2364</v>
      </c>
      <c r="M28">
        <v>124.10039999999999</v>
      </c>
      <c r="P28">
        <v>124.2364</v>
      </c>
      <c r="Q28" s="1">
        <v>1.001754</v>
      </c>
      <c r="R28">
        <v>124.2364</v>
      </c>
      <c r="S28" s="2">
        <f>3159-2124</f>
        <v>1035</v>
      </c>
      <c r="T28">
        <v>124.2364</v>
      </c>
      <c r="U28" s="1">
        <v>4</v>
      </c>
    </row>
    <row r="29" spans="12:21">
      <c r="L29">
        <v>124.53440000000001</v>
      </c>
      <c r="M29">
        <v>124.1996</v>
      </c>
      <c r="P29">
        <v>124.53440000000001</v>
      </c>
      <c r="Q29" s="1">
        <v>0.930755</v>
      </c>
      <c r="R29">
        <v>124.53440000000001</v>
      </c>
      <c r="S29" s="2">
        <f>3315-2369</f>
        <v>946</v>
      </c>
      <c r="T29">
        <v>124.53440000000001</v>
      </c>
      <c r="U29" s="1">
        <v>3</v>
      </c>
    </row>
    <row r="30" spans="12:21">
      <c r="L30">
        <v>125.46729999999999</v>
      </c>
      <c r="M30">
        <v>125.17919999999999</v>
      </c>
      <c r="P30">
        <v>125.46729999999999</v>
      </c>
      <c r="Q30" s="1">
        <v>0.9375</v>
      </c>
      <c r="R30">
        <v>125.46729999999999</v>
      </c>
      <c r="S30" s="2">
        <f>3245-2181</f>
        <v>1064</v>
      </c>
      <c r="T30">
        <v>125.46729999999999</v>
      </c>
      <c r="U30" s="1">
        <v>3</v>
      </c>
    </row>
    <row r="31" spans="12:21">
      <c r="L31">
        <v>124.2375</v>
      </c>
      <c r="M31">
        <v>123.8027</v>
      </c>
      <c r="P31">
        <v>124.2375</v>
      </c>
      <c r="Q31" s="1">
        <v>0.83633100000000005</v>
      </c>
      <c r="R31">
        <v>124.2375</v>
      </c>
      <c r="S31" s="2">
        <f>3135-2114</f>
        <v>1021</v>
      </c>
      <c r="T31">
        <v>124.2375</v>
      </c>
      <c r="U31" s="1">
        <v>-2</v>
      </c>
    </row>
    <row r="32" spans="12:21">
      <c r="L32">
        <v>125.43259999999999</v>
      </c>
      <c r="M32">
        <v>125.5234</v>
      </c>
      <c r="P32">
        <v>125.43259999999999</v>
      </c>
      <c r="Q32" s="1">
        <v>1.0319240000000001</v>
      </c>
      <c r="R32">
        <v>125.43259999999999</v>
      </c>
      <c r="S32" s="2">
        <f>3228-2110</f>
        <v>1118</v>
      </c>
      <c r="T32">
        <v>125.43259999999999</v>
      </c>
      <c r="U32" s="1">
        <v>-2</v>
      </c>
    </row>
    <row r="33" spans="12:21">
      <c r="L33">
        <v>125.6212</v>
      </c>
      <c r="M33">
        <v>125.38160000000001</v>
      </c>
      <c r="P33">
        <v>125.6212</v>
      </c>
      <c r="Q33" s="1">
        <v>0.76214000000000004</v>
      </c>
      <c r="R33">
        <v>125.6212</v>
      </c>
      <c r="S33" s="2">
        <f>3168-2135</f>
        <v>1033</v>
      </c>
      <c r="T33">
        <v>125.6212</v>
      </c>
      <c r="U33" s="1">
        <v>0</v>
      </c>
    </row>
    <row r="34" spans="12:21">
      <c r="L34">
        <v>125.3848</v>
      </c>
      <c r="M34">
        <v>127.4442</v>
      </c>
      <c r="P34">
        <v>125.3848</v>
      </c>
      <c r="Q34" s="1">
        <v>0.89703200000000005</v>
      </c>
      <c r="R34">
        <v>125.3848</v>
      </c>
      <c r="S34" s="2">
        <f>3203-2119</f>
        <v>1084</v>
      </c>
      <c r="T34">
        <v>125.3848</v>
      </c>
      <c r="U34" s="1">
        <v>2</v>
      </c>
    </row>
    <row r="35" spans="12:21">
      <c r="L35">
        <v>125.5033</v>
      </c>
      <c r="M35">
        <v>127.27200000000001</v>
      </c>
      <c r="P35">
        <v>125.5033</v>
      </c>
      <c r="Q35" s="1">
        <v>0.89028799999999997</v>
      </c>
      <c r="R35">
        <v>125.5033</v>
      </c>
      <c r="S35" s="2">
        <f>3268-2136</f>
        <v>1132</v>
      </c>
      <c r="T35">
        <v>125.5033</v>
      </c>
      <c r="U35" s="1">
        <v>-2</v>
      </c>
    </row>
    <row r="36" spans="12:21">
      <c r="L36">
        <v>125.3194</v>
      </c>
      <c r="M36">
        <v>127.6144</v>
      </c>
      <c r="P36">
        <v>125.3194</v>
      </c>
      <c r="Q36" s="1">
        <v>1.0285519999999999</v>
      </c>
      <c r="R36">
        <v>125.3194</v>
      </c>
      <c r="S36" s="2">
        <f>3141-2107</f>
        <v>1034</v>
      </c>
      <c r="T36">
        <v>125.3194</v>
      </c>
      <c r="U36" s="1">
        <v>4</v>
      </c>
    </row>
    <row r="37" spans="12:21">
      <c r="L37">
        <v>126.95269999999999</v>
      </c>
      <c r="M37">
        <v>128.0017</v>
      </c>
      <c r="P37">
        <v>126.95269999999999</v>
      </c>
      <c r="Q37" s="1">
        <v>0.80935299999999999</v>
      </c>
      <c r="R37">
        <v>126.95269999999999</v>
      </c>
      <c r="S37" s="2">
        <f>2125-1036</f>
        <v>1089</v>
      </c>
      <c r="T37">
        <v>126.95269999999999</v>
      </c>
      <c r="U37" s="1">
        <v>4</v>
      </c>
    </row>
    <row r="38" spans="12:21">
      <c r="L38">
        <v>126.50369999999999</v>
      </c>
      <c r="M38">
        <v>125.1942</v>
      </c>
      <c r="P38">
        <v>126.50369999999999</v>
      </c>
      <c r="Q38" s="1">
        <v>0.88354299999999997</v>
      </c>
      <c r="R38">
        <v>126.50369999999999</v>
      </c>
      <c r="S38" s="2">
        <f>4406-3329</f>
        <v>1077</v>
      </c>
      <c r="T38">
        <v>126.50369999999999</v>
      </c>
      <c r="U38" s="1">
        <v>-2</v>
      </c>
    </row>
    <row r="39" spans="12:21">
      <c r="L39">
        <v>126.399</v>
      </c>
      <c r="M39">
        <v>124.5265</v>
      </c>
      <c r="P39">
        <v>126.399</v>
      </c>
      <c r="Q39" s="1">
        <v>1.015063</v>
      </c>
      <c r="R39">
        <v>126.399</v>
      </c>
      <c r="S39" s="2">
        <f>3171-2122</f>
        <v>1049</v>
      </c>
      <c r="T39">
        <v>126.399</v>
      </c>
      <c r="U39" s="1">
        <v>-3</v>
      </c>
    </row>
    <row r="40" spans="12:21">
      <c r="L40">
        <v>120.0831</v>
      </c>
      <c r="M40">
        <v>122.4451</v>
      </c>
      <c r="P40">
        <v>120.0831</v>
      </c>
      <c r="Q40" s="1">
        <v>1.008318</v>
      </c>
      <c r="R40">
        <v>120.0831</v>
      </c>
      <c r="S40" s="2">
        <f>3078-2046</f>
        <v>1032</v>
      </c>
      <c r="T40">
        <v>120.0831</v>
      </c>
      <c r="U40" s="1">
        <v>-4</v>
      </c>
    </row>
    <row r="41" spans="12:21">
      <c r="L41">
        <v>119.7223</v>
      </c>
      <c r="M41">
        <v>121.125</v>
      </c>
      <c r="P41">
        <v>119.7223</v>
      </c>
      <c r="Q41" s="1">
        <v>1.0352969999999999</v>
      </c>
      <c r="R41">
        <v>119.7223</v>
      </c>
      <c r="S41" s="2">
        <f>3122-2092</f>
        <v>1030</v>
      </c>
      <c r="T41">
        <v>119.7223</v>
      </c>
      <c r="U41" s="1">
        <f>43-36</f>
        <v>7</v>
      </c>
    </row>
    <row r="42" spans="12:21">
      <c r="L42">
        <v>120.8468</v>
      </c>
      <c r="M42">
        <v>122.6657</v>
      </c>
      <c r="P42">
        <v>120.8468</v>
      </c>
      <c r="Q42" s="1">
        <v>0.95773399999999997</v>
      </c>
      <c r="R42">
        <v>120.8468</v>
      </c>
      <c r="S42" s="2">
        <f>3154-2106</f>
        <v>1048</v>
      </c>
      <c r="T42">
        <v>120.8468</v>
      </c>
      <c r="U42" s="1">
        <v>5</v>
      </c>
    </row>
    <row r="43" spans="12:21">
      <c r="L43">
        <v>119.3732</v>
      </c>
      <c r="M43">
        <v>122.20869999999999</v>
      </c>
      <c r="P43">
        <v>119.3732</v>
      </c>
      <c r="Q43" s="1">
        <v>1.31857</v>
      </c>
      <c r="R43">
        <v>119.3732</v>
      </c>
      <c r="S43" s="2">
        <f xml:space="preserve"> 3226-2038</f>
        <v>1188</v>
      </c>
      <c r="T43">
        <v>119.3732</v>
      </c>
      <c r="U43" s="1">
        <v>-3</v>
      </c>
    </row>
    <row r="44" spans="12:21">
      <c r="L44">
        <v>119.1345</v>
      </c>
      <c r="M44">
        <v>123.1215</v>
      </c>
      <c r="P44">
        <v>119.1345</v>
      </c>
      <c r="Q44" s="1">
        <v>0.90040500000000001</v>
      </c>
      <c r="R44">
        <v>119.1345</v>
      </c>
      <c r="S44" s="2">
        <f>3190-2086</f>
        <v>1104</v>
      </c>
      <c r="T44">
        <v>119.1345</v>
      </c>
      <c r="U44" s="1">
        <v>-3</v>
      </c>
    </row>
    <row r="45" spans="12:21">
      <c r="L45">
        <v>118.6198</v>
      </c>
      <c r="M45">
        <v>123.87649999999999</v>
      </c>
      <c r="P45">
        <v>118.6198</v>
      </c>
      <c r="Q45" s="1">
        <v>1.352293</v>
      </c>
      <c r="R45">
        <v>118.6198</v>
      </c>
      <c r="S45" s="2">
        <f>3177-2221</f>
        <v>956</v>
      </c>
      <c r="T45">
        <v>118.6198</v>
      </c>
      <c r="U45" s="1">
        <v>-2</v>
      </c>
    </row>
    <row r="46" spans="12:21">
      <c r="L46">
        <v>120.5107</v>
      </c>
      <c r="M46">
        <v>125.6032</v>
      </c>
      <c r="P46">
        <v>120.5107</v>
      </c>
      <c r="Q46" s="1">
        <v>1.065647</v>
      </c>
      <c r="R46">
        <v>120.5107</v>
      </c>
      <c r="S46" s="2">
        <f>3194-2035</f>
        <v>1159</v>
      </c>
      <c r="T46">
        <v>120.5107</v>
      </c>
      <c r="U46" s="1">
        <v>-8</v>
      </c>
    </row>
    <row r="47" spans="12:21">
      <c r="L47">
        <v>118.1631</v>
      </c>
      <c r="M47">
        <v>123.84480000000001</v>
      </c>
      <c r="P47">
        <v>118.1631</v>
      </c>
      <c r="Q47" s="1">
        <v>0.96785100000000002</v>
      </c>
      <c r="R47">
        <v>118.1631</v>
      </c>
      <c r="S47" s="2">
        <f>3151-2100</f>
        <v>1051</v>
      </c>
      <c r="T47">
        <v>118.1631</v>
      </c>
      <c r="U47" s="1">
        <v>1</v>
      </c>
    </row>
    <row r="48" spans="12:21">
      <c r="L48">
        <v>119.6536</v>
      </c>
      <c r="M48">
        <v>126.24760000000001</v>
      </c>
      <c r="P48">
        <v>119.6536</v>
      </c>
      <c r="Q48" s="1">
        <v>1.3792720000000001</v>
      </c>
      <c r="R48">
        <v>119.6536</v>
      </c>
      <c r="S48" s="2">
        <f>3117-2062</f>
        <v>1055</v>
      </c>
      <c r="T48">
        <v>119.6536</v>
      </c>
      <c r="U48" s="2">
        <f>33-41</f>
        <v>-8</v>
      </c>
    </row>
    <row r="49" spans="12:21">
      <c r="L49">
        <v>118.8986</v>
      </c>
      <c r="M49">
        <v>122.9328</v>
      </c>
      <c r="P49">
        <v>118.8986</v>
      </c>
      <c r="Q49" s="1">
        <v>0.85319199999999995</v>
      </c>
      <c r="R49">
        <v>118.8986</v>
      </c>
      <c r="S49" s="2">
        <f>3116-1999</f>
        <v>1117</v>
      </c>
      <c r="T49">
        <v>118.8986</v>
      </c>
      <c r="U49" s="1">
        <v>-2</v>
      </c>
    </row>
    <row r="50" spans="12:21">
      <c r="L50">
        <v>124.7638</v>
      </c>
      <c r="M50">
        <v>122.569</v>
      </c>
      <c r="P50">
        <v>124.7638</v>
      </c>
      <c r="Q50" s="1">
        <v>0.95098899999999997</v>
      </c>
      <c r="R50">
        <v>124.7638</v>
      </c>
      <c r="S50" s="2">
        <f>3145-2125</f>
        <v>1020</v>
      </c>
      <c r="T50">
        <v>124.7638</v>
      </c>
      <c r="U50" s="1">
        <v>0</v>
      </c>
    </row>
    <row r="51" spans="12:21">
      <c r="L51">
        <v>123.2392</v>
      </c>
      <c r="M51">
        <v>122.8212</v>
      </c>
      <c r="P51">
        <v>123.2392</v>
      </c>
      <c r="Q51" s="1">
        <v>1.133094</v>
      </c>
      <c r="R51">
        <v>123.2392</v>
      </c>
      <c r="S51" s="2">
        <f>3149-2186</f>
        <v>963</v>
      </c>
      <c r="T51">
        <v>123.2392</v>
      </c>
      <c r="U51" s="1">
        <v>-4</v>
      </c>
    </row>
    <row r="52" spans="12:21">
      <c r="L52">
        <v>124.604</v>
      </c>
      <c r="M52">
        <v>124.07859999999999</v>
      </c>
      <c r="P52">
        <v>124.604</v>
      </c>
      <c r="Q52" s="1">
        <v>1.0116909999999999</v>
      </c>
      <c r="R52">
        <v>124.604</v>
      </c>
      <c r="S52" s="2">
        <f>3227-2141</f>
        <v>1086</v>
      </c>
      <c r="T52">
        <v>124.604</v>
      </c>
      <c r="U52" s="1">
        <f>27-33</f>
        <v>-6</v>
      </c>
    </row>
    <row r="53" spans="12:21">
      <c r="L53">
        <v>122.5437</v>
      </c>
      <c r="M53">
        <v>125.1718</v>
      </c>
      <c r="P53">
        <v>122.5437</v>
      </c>
      <c r="Q53" s="1">
        <v>0.86668199999999995</v>
      </c>
      <c r="R53">
        <v>122.5437</v>
      </c>
      <c r="S53" s="2">
        <f>3150-2106</f>
        <v>1044</v>
      </c>
      <c r="T53">
        <v>122.5437</v>
      </c>
      <c r="U53" s="1">
        <v>-6</v>
      </c>
    </row>
    <row r="54" spans="12:21">
      <c r="L54">
        <v>129.3776</v>
      </c>
      <c r="M54">
        <v>125.27370000000001</v>
      </c>
      <c r="P54">
        <v>129.3776</v>
      </c>
      <c r="Q54" s="1">
        <v>0.75539599999999996</v>
      </c>
      <c r="R54">
        <v>129.3776</v>
      </c>
      <c r="S54" s="2">
        <f>3217-2131</f>
        <v>1086</v>
      </c>
      <c r="T54">
        <v>129.3776</v>
      </c>
      <c r="U54" s="1">
        <v>-5</v>
      </c>
    </row>
    <row r="55" spans="12:21">
      <c r="L55">
        <v>122.242</v>
      </c>
      <c r="M55">
        <v>125.167</v>
      </c>
      <c r="P55">
        <v>122.242</v>
      </c>
      <c r="Q55" s="1">
        <v>1.207284</v>
      </c>
      <c r="R55">
        <v>122.242</v>
      </c>
      <c r="S55" s="2">
        <f>3664-2452</f>
        <v>1212</v>
      </c>
      <c r="T55">
        <v>122.242</v>
      </c>
      <c r="U55" s="1">
        <v>1</v>
      </c>
    </row>
    <row r="56" spans="12:21">
      <c r="M56">
        <v>127.3792</v>
      </c>
      <c r="P56" s="3">
        <v>130.86519999999999</v>
      </c>
      <c r="Q56" s="1">
        <v>0.83970299999999998</v>
      </c>
      <c r="R56" s="3">
        <v>130.86519999999999</v>
      </c>
      <c r="S56" s="2">
        <f>3199-2120</f>
        <v>1079</v>
      </c>
      <c r="T56" s="3">
        <v>130.86519999999999</v>
      </c>
      <c r="U56" s="1">
        <v>3</v>
      </c>
    </row>
    <row r="57" spans="12:21">
      <c r="M57">
        <v>125.9679</v>
      </c>
      <c r="P57" s="3">
        <v>121.0628</v>
      </c>
      <c r="Q57" s="2">
        <v>0.83970299999999998</v>
      </c>
      <c r="R57" s="3">
        <v>121.0628</v>
      </c>
      <c r="S57" s="2">
        <f>3199-2132</f>
        <v>1067</v>
      </c>
      <c r="T57" s="3">
        <v>121.0628</v>
      </c>
      <c r="U57" s="1">
        <v>-2</v>
      </c>
    </row>
    <row r="58" spans="12:21">
      <c r="M58">
        <v>125.624</v>
      </c>
      <c r="P58" s="3">
        <v>120.6767</v>
      </c>
      <c r="Q58" s="1">
        <v>0.87342600000000004</v>
      </c>
      <c r="R58" s="3">
        <v>120.6767</v>
      </c>
      <c r="S58" s="2">
        <f>2969-2116</f>
        <v>853</v>
      </c>
      <c r="T58" s="3">
        <v>120.6767</v>
      </c>
      <c r="U58" s="1">
        <v>5</v>
      </c>
    </row>
    <row r="59" spans="12:21">
      <c r="M59">
        <v>126.28270000000001</v>
      </c>
      <c r="P59" s="3">
        <v>120.0543</v>
      </c>
      <c r="Q59" s="1">
        <v>0.91389399999999998</v>
      </c>
      <c r="R59" s="3">
        <v>120.0543</v>
      </c>
      <c r="S59" s="2">
        <f>3860-2407</f>
        <v>1453</v>
      </c>
      <c r="T59" s="3">
        <v>120.0543</v>
      </c>
      <c r="U59" s="1">
        <v>4</v>
      </c>
    </row>
    <row r="60" spans="12:21">
      <c r="M60">
        <v>126.1473</v>
      </c>
      <c r="P60" s="3">
        <v>120.1511</v>
      </c>
      <c r="Q60" s="1">
        <v>0.87342600000000004</v>
      </c>
      <c r="R60" s="3">
        <v>120.1511</v>
      </c>
      <c r="S60" s="2">
        <f>3146-2084</f>
        <v>1062</v>
      </c>
      <c r="T60" s="3">
        <v>120.1511</v>
      </c>
      <c r="U60" s="1">
        <v>1</v>
      </c>
    </row>
    <row r="61" spans="12:21">
      <c r="M61">
        <v>124.8647</v>
      </c>
      <c r="P61" s="3">
        <v>130.71860000000001</v>
      </c>
      <c r="Q61" s="1">
        <v>0.97796799999999995</v>
      </c>
      <c r="R61" s="3">
        <v>130.71860000000001</v>
      </c>
      <c r="S61" s="2">
        <f>3109-2133</f>
        <v>976</v>
      </c>
      <c r="T61" s="3">
        <v>130.71860000000001</v>
      </c>
      <c r="U61" s="1">
        <v>-10</v>
      </c>
    </row>
    <row r="62" spans="12:21">
      <c r="M62">
        <v>125.88420000000001</v>
      </c>
      <c r="P62" s="3">
        <v>131.0026</v>
      </c>
      <c r="Q62" s="1">
        <v>0.97796799999999995</v>
      </c>
      <c r="R62" s="3">
        <v>131.0026</v>
      </c>
      <c r="S62" s="2">
        <f>3005-2028</f>
        <v>977</v>
      </c>
      <c r="T62" s="3">
        <v>131.0026</v>
      </c>
      <c r="U62" s="1">
        <v>-7</v>
      </c>
    </row>
    <row r="63" spans="12:21">
      <c r="M63">
        <v>126.185</v>
      </c>
      <c r="P63" s="3">
        <v>129.2636</v>
      </c>
      <c r="Q63" s="1">
        <v>1.072392</v>
      </c>
      <c r="R63" s="3">
        <v>129.2636</v>
      </c>
      <c r="S63" s="2">
        <f>2979-1978</f>
        <v>1001</v>
      </c>
      <c r="T63" s="3">
        <v>129.2636</v>
      </c>
      <c r="U63" s="1">
        <v>-2</v>
      </c>
    </row>
    <row r="64" spans="12:21">
      <c r="M64">
        <v>126.38120000000001</v>
      </c>
      <c r="P64" s="3">
        <v>130.0874</v>
      </c>
      <c r="Q64" s="1">
        <v>1.0690200000000001</v>
      </c>
      <c r="R64" s="3">
        <v>130.0874</v>
      </c>
      <c r="S64" s="2">
        <f>2383-1011</f>
        <v>1372</v>
      </c>
      <c r="T64" s="3">
        <v>130.0874</v>
      </c>
      <c r="U64" s="1">
        <f>27-41</f>
        <v>-14</v>
      </c>
    </row>
    <row r="65" spans="13:21">
      <c r="M65">
        <v>126.1164</v>
      </c>
      <c r="P65" s="3">
        <v>125.69</v>
      </c>
      <c r="Q65" s="1">
        <v>0.87343599999999999</v>
      </c>
      <c r="R65" s="3">
        <v>125.69</v>
      </c>
      <c r="S65" s="2">
        <f>3082-2069</f>
        <v>1013</v>
      </c>
      <c r="T65" s="3">
        <v>125.69</v>
      </c>
      <c r="U65" s="1">
        <v>-8</v>
      </c>
    </row>
    <row r="66" spans="13:21">
      <c r="M66">
        <v>121.5986</v>
      </c>
      <c r="P66" s="3">
        <v>125.7621</v>
      </c>
      <c r="Q66" s="1">
        <v>0.86330899999999999</v>
      </c>
      <c r="R66" s="3">
        <v>125.7621</v>
      </c>
      <c r="S66" s="2">
        <f>5536-4393</f>
        <v>1143</v>
      </c>
      <c r="T66" s="3">
        <v>125.7621</v>
      </c>
      <c r="U66" s="1">
        <v>-2</v>
      </c>
    </row>
    <row r="67" spans="13:21">
      <c r="M67">
        <v>122.2221</v>
      </c>
      <c r="P67" s="3">
        <v>126.2564</v>
      </c>
      <c r="Q67" s="1">
        <v>0.86307599999999995</v>
      </c>
      <c r="R67" s="3">
        <v>126.2564</v>
      </c>
      <c r="S67" s="2">
        <f>3234-2138</f>
        <v>1096</v>
      </c>
      <c r="T67" s="3">
        <v>126.2564</v>
      </c>
      <c r="U67" s="1">
        <v>-7</v>
      </c>
    </row>
    <row r="68" spans="13:21">
      <c r="M68">
        <v>125.42449999999999</v>
      </c>
      <c r="P68" s="3">
        <v>127.0142</v>
      </c>
      <c r="Q68" s="1">
        <v>0.90377700000000005</v>
      </c>
      <c r="R68" s="3">
        <v>127.0142</v>
      </c>
      <c r="S68" s="2">
        <f>3093-2032</f>
        <v>1061</v>
      </c>
      <c r="T68" s="3">
        <v>127.0142</v>
      </c>
      <c r="U68" s="1">
        <v>-6</v>
      </c>
    </row>
    <row r="69" spans="13:21">
      <c r="M69">
        <v>124.3117</v>
      </c>
      <c r="P69" s="3">
        <v>128.0283</v>
      </c>
      <c r="Q69" s="1">
        <v>0.94087200000000004</v>
      </c>
      <c r="R69" s="3">
        <v>128.0283</v>
      </c>
      <c r="S69" s="2">
        <f>3504-2166</f>
        <v>1338</v>
      </c>
      <c r="T69" s="3">
        <v>128.0283</v>
      </c>
      <c r="U69" s="1">
        <v>5</v>
      </c>
    </row>
    <row r="70" spans="13:21">
      <c r="M70">
        <v>123.78230000000001</v>
      </c>
      <c r="P70" s="3">
        <v>122.8601</v>
      </c>
      <c r="Q70" s="1">
        <v>0.82284199999999996</v>
      </c>
      <c r="R70" s="3">
        <v>122.8601</v>
      </c>
      <c r="S70" s="4">
        <f>3270-2201</f>
        <v>1069</v>
      </c>
      <c r="T70" s="3">
        <v>122.8601</v>
      </c>
      <c r="U70" s="1">
        <v>13</v>
      </c>
    </row>
    <row r="71" spans="13:21">
      <c r="M71">
        <v>122.5763</v>
      </c>
      <c r="P71" s="3">
        <v>124.1587</v>
      </c>
      <c r="Q71" s="1">
        <v>0.77225699999999997</v>
      </c>
      <c r="R71" s="3">
        <v>124.1587</v>
      </c>
      <c r="S71" s="4">
        <f>3262-2194</f>
        <v>1068</v>
      </c>
      <c r="T71" s="3">
        <v>124.1587</v>
      </c>
      <c r="U71" s="1">
        <v>-1</v>
      </c>
    </row>
    <row r="72" spans="13:21">
      <c r="M72">
        <v>125.99630000000001</v>
      </c>
      <c r="P72" s="3">
        <v>125.72499999999999</v>
      </c>
      <c r="Q72" s="1">
        <v>0.80598000000000003</v>
      </c>
      <c r="R72" s="3">
        <v>125.72499999999999</v>
      </c>
      <c r="S72" s="4">
        <f>3173-2168</f>
        <v>1005</v>
      </c>
      <c r="T72" s="3">
        <v>125.72499999999999</v>
      </c>
      <c r="U72" s="1">
        <v>1</v>
      </c>
    </row>
    <row r="73" spans="13:21">
      <c r="M73">
        <v>124.5711</v>
      </c>
      <c r="P73" s="3">
        <v>123.25700000000001</v>
      </c>
      <c r="Q73" s="1">
        <v>0.77225699999999997</v>
      </c>
      <c r="R73" s="3">
        <v>123.25700000000001</v>
      </c>
      <c r="S73" s="4">
        <f>3267-2185</f>
        <v>1082</v>
      </c>
      <c r="T73" s="3">
        <v>123.25700000000001</v>
      </c>
      <c r="U73" s="1">
        <v>0</v>
      </c>
    </row>
    <row r="74" spans="13:21">
      <c r="M74">
        <v>125.2975</v>
      </c>
      <c r="P74" s="3">
        <v>127.4619</v>
      </c>
      <c r="Q74" s="1">
        <v>0.832959</v>
      </c>
      <c r="R74" s="3">
        <v>127.4619</v>
      </c>
      <c r="S74">
        <f>5245-4264</f>
        <v>981</v>
      </c>
      <c r="T74" s="3">
        <v>127.4619</v>
      </c>
      <c r="U74" s="1">
        <v>-3</v>
      </c>
    </row>
    <row r="75" spans="13:21">
      <c r="M75">
        <v>125.95820000000001</v>
      </c>
      <c r="P75" s="3">
        <v>127.48139999999999</v>
      </c>
      <c r="Q75" s="1">
        <v>0.70818300000000001</v>
      </c>
      <c r="R75" s="3">
        <v>127.48139999999999</v>
      </c>
      <c r="S75">
        <f>3237-2171</f>
        <v>1066</v>
      </c>
      <c r="T75" s="3">
        <v>127.48139999999999</v>
      </c>
      <c r="U75" s="1">
        <v>1</v>
      </c>
    </row>
    <row r="76" spans="13:21">
      <c r="M76">
        <v>124.60339999999999</v>
      </c>
      <c r="P76" s="3">
        <v>127.37130000000001</v>
      </c>
      <c r="Q76" s="1">
        <v>0.83970299999999998</v>
      </c>
      <c r="R76" s="3">
        <v>127.37130000000001</v>
      </c>
      <c r="S76">
        <f>3219-2148</f>
        <v>1071</v>
      </c>
      <c r="T76" s="3">
        <v>127.37130000000001</v>
      </c>
      <c r="U76" s="1">
        <v>2</v>
      </c>
    </row>
    <row r="77" spans="13:21">
      <c r="M77">
        <v>125.84350000000001</v>
      </c>
      <c r="P77" s="3">
        <v>127.78149999999999</v>
      </c>
      <c r="Q77" s="1">
        <v>1.0386690000000001</v>
      </c>
      <c r="R77" s="3">
        <v>127.78149999999999</v>
      </c>
      <c r="S77">
        <f>3130-2147</f>
        <v>983</v>
      </c>
      <c r="T77" s="3">
        <v>127.78149999999999</v>
      </c>
      <c r="U77" s="1">
        <v>-3</v>
      </c>
    </row>
    <row r="78" spans="13:21">
      <c r="M78">
        <v>120.84829999999999</v>
      </c>
      <c r="P78" s="3">
        <v>127.10129999999999</v>
      </c>
      <c r="Q78" s="1">
        <v>0.92401100000000003</v>
      </c>
      <c r="R78" s="3">
        <v>127.10129999999999</v>
      </c>
      <c r="S78">
        <f>3821-2735</f>
        <v>1086</v>
      </c>
      <c r="T78" s="3">
        <v>127.10129999999999</v>
      </c>
      <c r="U78" s="1">
        <v>-1</v>
      </c>
    </row>
    <row r="79" spans="13:21">
      <c r="M79">
        <v>121.4308</v>
      </c>
      <c r="P79" s="3">
        <v>128.71019999999999</v>
      </c>
      <c r="Q79" s="1">
        <v>0.92063799999999996</v>
      </c>
      <c r="R79" s="3">
        <v>128.71019999999999</v>
      </c>
      <c r="S79">
        <f>3229-2141</f>
        <v>1088</v>
      </c>
      <c r="T79" s="3">
        <v>128.71019999999999</v>
      </c>
      <c r="U79" s="1">
        <v>6</v>
      </c>
    </row>
    <row r="80" spans="13:21">
      <c r="M80">
        <v>121.8107</v>
      </c>
      <c r="P80" s="3">
        <v>128.72919999999999</v>
      </c>
      <c r="Q80" s="1">
        <v>0.944245</v>
      </c>
      <c r="R80" s="3">
        <v>128.72919999999999</v>
      </c>
      <c r="S80">
        <f>3167-2153</f>
        <v>1014</v>
      </c>
      <c r="T80" s="3">
        <v>128.72919999999999</v>
      </c>
      <c r="U80" s="1">
        <f>24-36</f>
        <v>-12</v>
      </c>
    </row>
    <row r="81" spans="13:21">
      <c r="M81" s="3">
        <v>127.9624</v>
      </c>
      <c r="P81">
        <v>124.00409999999999</v>
      </c>
      <c r="Q81" s="1">
        <v>0.90741899999999998</v>
      </c>
      <c r="R81">
        <v>124.00409999999999</v>
      </c>
      <c r="S81" s="2">
        <f>3280-2172</f>
        <v>1108</v>
      </c>
      <c r="T81">
        <v>124.00409999999999</v>
      </c>
      <c r="U81" s="1">
        <v>1</v>
      </c>
    </row>
    <row r="82" spans="13:21">
      <c r="M82" s="3">
        <v>126.8956</v>
      </c>
      <c r="P82">
        <v>124.10039999999999</v>
      </c>
      <c r="Q82" s="1">
        <v>1.095998</v>
      </c>
      <c r="R82">
        <v>124.10039999999999</v>
      </c>
      <c r="S82" s="2">
        <f>3178-2136</f>
        <v>1042</v>
      </c>
      <c r="T82">
        <v>124.10039999999999</v>
      </c>
      <c r="U82" s="1">
        <f>44-38</f>
        <v>6</v>
      </c>
    </row>
    <row r="83" spans="13:21">
      <c r="M83" s="3">
        <v>124.526</v>
      </c>
      <c r="P83">
        <v>124.1996</v>
      </c>
      <c r="Q83" s="1">
        <v>0.70481099999999997</v>
      </c>
      <c r="R83">
        <v>124.1996</v>
      </c>
      <c r="S83" s="2">
        <f>3259-2184</f>
        <v>1075</v>
      </c>
      <c r="T83">
        <v>124.1996</v>
      </c>
      <c r="U83" s="1">
        <v>-4</v>
      </c>
    </row>
    <row r="84" spans="13:21">
      <c r="M84" s="3">
        <v>124.11499999999999</v>
      </c>
      <c r="P84">
        <v>125.17919999999999</v>
      </c>
      <c r="Q84" s="1">
        <v>0.98808499999999999</v>
      </c>
      <c r="R84">
        <v>125.17919999999999</v>
      </c>
      <c r="S84" s="2">
        <f>3161-2066</f>
        <v>1095</v>
      </c>
      <c r="T84">
        <v>125.17919999999999</v>
      </c>
      <c r="U84" s="1">
        <v>3</v>
      </c>
    </row>
    <row r="85" spans="13:21">
      <c r="M85" s="3">
        <v>123.9854</v>
      </c>
      <c r="P85">
        <v>123.8027</v>
      </c>
      <c r="Q85" s="1">
        <v>1.0386690000000001</v>
      </c>
      <c r="R85">
        <v>123.8027</v>
      </c>
      <c r="S85" s="1">
        <f>3147-2093</f>
        <v>1054</v>
      </c>
      <c r="T85">
        <v>123.8027</v>
      </c>
      <c r="U85" s="1">
        <v>-4</v>
      </c>
    </row>
    <row r="86" spans="13:21">
      <c r="M86" s="3">
        <v>123.831</v>
      </c>
      <c r="P86">
        <v>125.5234</v>
      </c>
      <c r="Q86" s="1">
        <v>0.99482899999999996</v>
      </c>
      <c r="R86">
        <v>125.5234</v>
      </c>
      <c r="S86" s="1">
        <f>3114-2070</f>
        <v>1044</v>
      </c>
      <c r="T86">
        <v>125.5234</v>
      </c>
      <c r="U86" s="1">
        <v>-1</v>
      </c>
    </row>
    <row r="87" spans="13:21">
      <c r="M87" s="3">
        <v>122.3481</v>
      </c>
      <c r="P87">
        <v>125.38160000000001</v>
      </c>
      <c r="Q87" s="1">
        <v>0.85319199999999995</v>
      </c>
      <c r="R87">
        <v>125.38160000000001</v>
      </c>
      <c r="S87" s="1">
        <f>3248-2147</f>
        <v>1101</v>
      </c>
      <c r="T87">
        <v>125.38160000000001</v>
      </c>
      <c r="U87" s="1">
        <v>10</v>
      </c>
    </row>
    <row r="88" spans="13:21">
      <c r="M88" s="3">
        <v>121.94889999999999</v>
      </c>
      <c r="P88">
        <v>127.4442</v>
      </c>
      <c r="Q88" s="1">
        <v>0.92063799999999996</v>
      </c>
      <c r="R88">
        <v>127.4442</v>
      </c>
      <c r="S88" s="1">
        <f>3075-2095</f>
        <v>980</v>
      </c>
      <c r="T88">
        <v>127.4442</v>
      </c>
      <c r="U88" s="1">
        <f>41-37</f>
        <v>4</v>
      </c>
    </row>
    <row r="89" spans="13:21">
      <c r="P89">
        <v>127.27200000000001</v>
      </c>
      <c r="Q89" s="1">
        <v>0.97122299999999995</v>
      </c>
      <c r="R89">
        <v>127.27200000000001</v>
      </c>
      <c r="S89" s="2">
        <f>3220-2141</f>
        <v>1079</v>
      </c>
      <c r="T89">
        <v>127.27200000000001</v>
      </c>
      <c r="U89" s="1">
        <v>0</v>
      </c>
    </row>
    <row r="90" spans="13:21">
      <c r="P90">
        <v>127.6144</v>
      </c>
      <c r="Q90" s="1">
        <v>0.88354299999999997</v>
      </c>
      <c r="R90">
        <v>127.6144</v>
      </c>
      <c r="S90" s="2">
        <f>3344-2162</f>
        <v>1182</v>
      </c>
      <c r="T90">
        <v>127.6144</v>
      </c>
      <c r="U90" s="1">
        <v>5</v>
      </c>
    </row>
    <row r="91" spans="13:21">
      <c r="P91">
        <v>128.0017</v>
      </c>
      <c r="Q91" s="1">
        <v>0.95773399999999997</v>
      </c>
      <c r="R91">
        <v>128.0017</v>
      </c>
      <c r="S91" s="2">
        <f>3243-2166</f>
        <v>1077</v>
      </c>
      <c r="T91">
        <v>128.0017</v>
      </c>
      <c r="U91" s="1">
        <f>29-33</f>
        <v>-4</v>
      </c>
    </row>
    <row r="92" spans="13:21">
      <c r="P92">
        <v>125.1942</v>
      </c>
      <c r="Q92" s="1">
        <v>0.99145700000000003</v>
      </c>
      <c r="R92">
        <v>125.1942</v>
      </c>
      <c r="S92" s="2">
        <f>3242-2124</f>
        <v>1118</v>
      </c>
      <c r="T92">
        <v>125.1942</v>
      </c>
      <c r="U92" s="2">
        <f>36-27</f>
        <v>9</v>
      </c>
    </row>
    <row r="93" spans="13:21">
      <c r="P93">
        <v>124.5265</v>
      </c>
      <c r="Q93" s="1">
        <v>0.98143000000000002</v>
      </c>
      <c r="R93">
        <v>124.5265</v>
      </c>
      <c r="S93" s="2">
        <f>3103-2113</f>
        <v>990</v>
      </c>
      <c r="T93">
        <v>124.5265</v>
      </c>
      <c r="U93" s="2">
        <v>3</v>
      </c>
    </row>
    <row r="94" spans="13:21">
      <c r="P94">
        <v>122.4451</v>
      </c>
      <c r="Q94" s="1">
        <v>1.119604</v>
      </c>
      <c r="R94">
        <v>122.4451</v>
      </c>
      <c r="S94" s="2">
        <f>3123-2070</f>
        <v>1053</v>
      </c>
      <c r="T94">
        <v>122.4451</v>
      </c>
      <c r="U94" s="1">
        <v>6</v>
      </c>
    </row>
    <row r="95" spans="13:21">
      <c r="P95">
        <v>121.125</v>
      </c>
      <c r="Q95" s="1">
        <v>1.23089</v>
      </c>
      <c r="R95">
        <v>121.125</v>
      </c>
      <c r="S95" s="2">
        <f>3032-2028</f>
        <v>1004</v>
      </c>
      <c r="T95">
        <v>121.125</v>
      </c>
      <c r="U95" s="1">
        <v>1</v>
      </c>
    </row>
    <row r="96" spans="13:21">
      <c r="P96">
        <v>122.6657</v>
      </c>
      <c r="Q96" s="1">
        <v>1.153327</v>
      </c>
      <c r="R96">
        <v>122.6657</v>
      </c>
      <c r="S96" s="2">
        <f>2926-1978</f>
        <v>948</v>
      </c>
      <c r="T96">
        <v>122.6657</v>
      </c>
      <c r="U96" s="1">
        <v>-2</v>
      </c>
    </row>
    <row r="97" spans="16:21">
      <c r="P97">
        <v>122.20869999999999</v>
      </c>
      <c r="Q97" s="1">
        <v>0.9375</v>
      </c>
      <c r="R97">
        <v>122.20869999999999</v>
      </c>
      <c r="S97" s="2">
        <f>3138-2109</f>
        <v>1029</v>
      </c>
      <c r="T97">
        <v>122.20869999999999</v>
      </c>
      <c r="U97" s="1">
        <v>7</v>
      </c>
    </row>
    <row r="98" spans="16:21">
      <c r="P98">
        <v>123.1215</v>
      </c>
      <c r="Q98" s="1">
        <v>1.1701889999999999</v>
      </c>
      <c r="R98">
        <v>123.1215</v>
      </c>
      <c r="S98" s="2">
        <f>3095-2045</f>
        <v>1050</v>
      </c>
      <c r="T98">
        <v>123.1215</v>
      </c>
      <c r="U98" s="1">
        <v>3</v>
      </c>
    </row>
    <row r="99" spans="16:21">
      <c r="P99">
        <v>123.87649999999999</v>
      </c>
      <c r="Q99" s="1">
        <v>1.0352969999999999</v>
      </c>
      <c r="R99">
        <v>123.87649999999999</v>
      </c>
      <c r="S99" s="2">
        <f>3163-2121</f>
        <v>1042</v>
      </c>
      <c r="T99">
        <v>123.87649999999999</v>
      </c>
      <c r="U99" s="1">
        <f>46-38</f>
        <v>8</v>
      </c>
    </row>
    <row r="100" spans="16:21">
      <c r="P100">
        <v>125.6032</v>
      </c>
      <c r="Q100" s="1">
        <v>1.1634439999999999</v>
      </c>
      <c r="R100">
        <v>125.6032</v>
      </c>
      <c r="S100" s="2">
        <f>3111-2079</f>
        <v>1032</v>
      </c>
      <c r="T100">
        <v>125.6032</v>
      </c>
      <c r="U100" s="1">
        <v>-1</v>
      </c>
    </row>
    <row r="101" spans="16:21">
      <c r="P101">
        <v>123.84480000000001</v>
      </c>
      <c r="Q101" s="1">
        <v>0.944245</v>
      </c>
      <c r="R101">
        <v>123.84480000000001</v>
      </c>
      <c r="S101" s="2">
        <f>3205-2124</f>
        <v>1081</v>
      </c>
      <c r="T101">
        <v>123.84480000000001</v>
      </c>
      <c r="U101" s="1">
        <v>4</v>
      </c>
    </row>
    <row r="102" spans="16:21">
      <c r="P102">
        <v>126.24760000000001</v>
      </c>
      <c r="Q102" s="1">
        <v>1.1398379999999999</v>
      </c>
      <c r="R102">
        <v>126.24760000000001</v>
      </c>
      <c r="S102" s="2">
        <f>3198-2131</f>
        <v>1067</v>
      </c>
      <c r="T102">
        <v>126.24760000000001</v>
      </c>
      <c r="U102" s="1">
        <v>6</v>
      </c>
    </row>
    <row r="103" spans="16:21">
      <c r="P103">
        <v>122.9328</v>
      </c>
      <c r="Q103" s="1">
        <v>1.0116909999999999</v>
      </c>
      <c r="R103">
        <v>122.9328</v>
      </c>
      <c r="S103" s="2">
        <f>3190-2123</f>
        <v>1067</v>
      </c>
      <c r="T103">
        <v>122.9328</v>
      </c>
      <c r="U103" s="1">
        <v>8</v>
      </c>
    </row>
    <row r="104" spans="16:21">
      <c r="P104">
        <v>122.569</v>
      </c>
      <c r="Q104" s="1">
        <v>1.0622750000000001</v>
      </c>
      <c r="R104">
        <v>122.569</v>
      </c>
      <c r="S104" s="2">
        <f>3182-2138</f>
        <v>1044</v>
      </c>
      <c r="T104">
        <v>122.569</v>
      </c>
      <c r="U104" s="1">
        <v>1</v>
      </c>
    </row>
    <row r="105" spans="16:21">
      <c r="P105">
        <v>122.8212</v>
      </c>
      <c r="Q105" s="1">
        <v>1.0622750000000001</v>
      </c>
      <c r="R105">
        <v>122.8212</v>
      </c>
      <c r="S105" s="2">
        <f>3144-2077</f>
        <v>1067</v>
      </c>
      <c r="T105">
        <v>122.8212</v>
      </c>
      <c r="U105" s="1">
        <v>5</v>
      </c>
    </row>
    <row r="106" spans="16:21">
      <c r="P106">
        <v>124.07859999999999</v>
      </c>
      <c r="Q106" s="1">
        <v>0.93412799999999996</v>
      </c>
      <c r="R106">
        <v>124.07859999999999</v>
      </c>
      <c r="S106" s="2">
        <f>3144-2092</f>
        <v>1052</v>
      </c>
      <c r="T106">
        <v>124.07859999999999</v>
      </c>
      <c r="U106" s="1">
        <v>6</v>
      </c>
    </row>
    <row r="107" spans="16:21">
      <c r="P107">
        <v>125.1718</v>
      </c>
      <c r="Q107" s="1">
        <v>1.1499550000000001</v>
      </c>
      <c r="R107">
        <v>125.1718</v>
      </c>
      <c r="S107" s="2">
        <f>3147-2197</f>
        <v>950</v>
      </c>
      <c r="T107">
        <v>125.1718</v>
      </c>
      <c r="U107" s="1">
        <v>-1</v>
      </c>
    </row>
    <row r="108" spans="16:21">
      <c r="P108">
        <v>125.27370000000001</v>
      </c>
      <c r="Q108" s="1">
        <v>1.018435</v>
      </c>
      <c r="R108">
        <v>125.27370000000001</v>
      </c>
      <c r="S108" s="2">
        <f>3397-2103</f>
        <v>1294</v>
      </c>
      <c r="T108">
        <v>125.27370000000001</v>
      </c>
      <c r="U108" s="1">
        <v>9</v>
      </c>
    </row>
    <row r="109" spans="16:21">
      <c r="P109">
        <v>125.167</v>
      </c>
      <c r="Q109" s="1">
        <v>0.99482899999999996</v>
      </c>
      <c r="R109">
        <v>125.167</v>
      </c>
      <c r="S109" s="2">
        <f>3110-2034</f>
        <v>1076</v>
      </c>
      <c r="T109">
        <v>125.167</v>
      </c>
      <c r="U109" s="1">
        <v>2</v>
      </c>
    </row>
    <row r="110" spans="16:21">
      <c r="P110">
        <v>127.3792</v>
      </c>
      <c r="Q110" s="1">
        <v>0.90040500000000001</v>
      </c>
      <c r="R110">
        <v>127.3792</v>
      </c>
      <c r="S110" s="2">
        <f>3228-2130</f>
        <v>1098</v>
      </c>
      <c r="T110">
        <v>127.3792</v>
      </c>
      <c r="U110" s="1">
        <v>9</v>
      </c>
    </row>
    <row r="111" spans="16:21">
      <c r="P111">
        <v>125.9679</v>
      </c>
      <c r="Q111" s="1">
        <v>0.97459499999999999</v>
      </c>
      <c r="R111">
        <v>125.9679</v>
      </c>
      <c r="S111" s="2">
        <f>3126-2079</f>
        <v>1047</v>
      </c>
      <c r="T111">
        <v>125.9679</v>
      </c>
      <c r="U111" s="1">
        <v>-3</v>
      </c>
    </row>
    <row r="112" spans="16:21">
      <c r="P112">
        <v>125.624</v>
      </c>
      <c r="Q112" s="1">
        <v>1.0621579999999999</v>
      </c>
      <c r="R112">
        <v>125.624</v>
      </c>
      <c r="S112" s="2">
        <f>3281-2160</f>
        <v>1121</v>
      </c>
      <c r="T112">
        <v>125.624</v>
      </c>
      <c r="U112" s="1">
        <v>0</v>
      </c>
    </row>
    <row r="113" spans="16:21">
      <c r="P113">
        <v>126.28270000000001</v>
      </c>
      <c r="Q113" s="1">
        <v>1.008318</v>
      </c>
      <c r="R113">
        <v>126.28270000000001</v>
      </c>
      <c r="S113" s="2">
        <f>3057-2074</f>
        <v>983</v>
      </c>
      <c r="T113">
        <v>126.28270000000001</v>
      </c>
      <c r="U113" s="1">
        <v>2</v>
      </c>
    </row>
    <row r="114" spans="16:21">
      <c r="P114">
        <v>126.1473</v>
      </c>
      <c r="Q114" s="1">
        <v>0.99145700000000003</v>
      </c>
      <c r="R114">
        <v>126.1473</v>
      </c>
      <c r="S114" s="2">
        <f>2998-2137</f>
        <v>861</v>
      </c>
      <c r="T114">
        <v>126.1473</v>
      </c>
      <c r="U114" s="1">
        <f>46-34</f>
        <v>12</v>
      </c>
    </row>
    <row r="115" spans="16:21">
      <c r="P115">
        <v>124.8647</v>
      </c>
      <c r="Q115" s="1">
        <v>1.0352969999999999</v>
      </c>
      <c r="R115">
        <v>124.8647</v>
      </c>
      <c r="S115" s="2">
        <f>3168-2069</f>
        <v>1099</v>
      </c>
      <c r="T115">
        <v>124.8647</v>
      </c>
      <c r="U115" s="2">
        <f>38-45</f>
        <v>-7</v>
      </c>
    </row>
    <row r="116" spans="16:21">
      <c r="P116">
        <v>125.88420000000001</v>
      </c>
      <c r="Q116" s="1">
        <v>1.065647</v>
      </c>
      <c r="R116">
        <v>125.88420000000001</v>
      </c>
      <c r="S116" s="2">
        <f>3122-2113</f>
        <v>1009</v>
      </c>
      <c r="T116">
        <v>125.88420000000001</v>
      </c>
      <c r="U116" s="1">
        <v>0</v>
      </c>
    </row>
    <row r="117" spans="16:21">
      <c r="P117">
        <v>126.185</v>
      </c>
      <c r="Q117" s="1">
        <v>1.6490560000000001</v>
      </c>
      <c r="R117">
        <v>126.185</v>
      </c>
      <c r="S117" s="2">
        <f>3148-2118</f>
        <v>1030</v>
      </c>
      <c r="T117">
        <v>126.185</v>
      </c>
      <c r="U117" s="1">
        <v>-3</v>
      </c>
    </row>
    <row r="118" spans="16:21">
      <c r="P118">
        <v>126.38120000000001</v>
      </c>
      <c r="Q118" s="1">
        <v>1.272073</v>
      </c>
      <c r="R118">
        <v>126.38120000000001</v>
      </c>
      <c r="S118" s="2">
        <f>3137-2089</f>
        <v>1048</v>
      </c>
      <c r="T118">
        <v>126.38120000000001</v>
      </c>
      <c r="U118" s="1">
        <v>3</v>
      </c>
    </row>
    <row r="119" spans="16:21">
      <c r="P119">
        <v>126.1164</v>
      </c>
      <c r="Q119" s="1">
        <v>1.6187050000000001</v>
      </c>
      <c r="R119">
        <v>126.1164</v>
      </c>
      <c r="S119" s="2">
        <f>3364-2161</f>
        <v>1203</v>
      </c>
      <c r="T119">
        <v>126.1164</v>
      </c>
      <c r="U119" s="1">
        <v>5</v>
      </c>
    </row>
    <row r="120" spans="16:21">
      <c r="P120">
        <v>121.5986</v>
      </c>
      <c r="Q120" s="1">
        <v>1.0116909999999999</v>
      </c>
      <c r="R120">
        <v>121.5986</v>
      </c>
      <c r="S120" s="2">
        <f>3146-2101</f>
        <v>1045</v>
      </c>
      <c r="T120">
        <v>121.5986</v>
      </c>
      <c r="U120" s="1">
        <v>2</v>
      </c>
    </row>
    <row r="121" spans="16:21">
      <c r="P121">
        <v>122.2221</v>
      </c>
      <c r="Q121" s="1">
        <v>1.0319240000000001</v>
      </c>
      <c r="R121">
        <v>122.2221</v>
      </c>
      <c r="S121" s="2">
        <f>3526-2373</f>
        <v>1153</v>
      </c>
      <c r="T121">
        <v>122.2221</v>
      </c>
      <c r="U121" s="1">
        <v>-3</v>
      </c>
    </row>
    <row r="122" spans="16:21">
      <c r="P122">
        <v>125.42449999999999</v>
      </c>
      <c r="Q122" s="1">
        <v>1.0386690000000001</v>
      </c>
      <c r="R122">
        <v>125.42449999999999</v>
      </c>
      <c r="S122">
        <f>3176-2088</f>
        <v>1088</v>
      </c>
      <c r="T122">
        <v>125.42449999999999</v>
      </c>
      <c r="U122" s="1">
        <v>-4</v>
      </c>
    </row>
    <row r="123" spans="16:21">
      <c r="P123">
        <v>124.3117</v>
      </c>
      <c r="Q123" s="1">
        <v>0.96110600000000002</v>
      </c>
      <c r="R123">
        <v>124.3117</v>
      </c>
      <c r="S123">
        <f>3064-2040</f>
        <v>1024</v>
      </c>
      <c r="T123">
        <v>124.3117</v>
      </c>
      <c r="U123" s="1">
        <v>-10</v>
      </c>
    </row>
    <row r="124" spans="16:21">
      <c r="P124">
        <v>123.78230000000001</v>
      </c>
      <c r="Q124" s="1">
        <v>1.0926260000000001</v>
      </c>
      <c r="R124">
        <v>123.78230000000001</v>
      </c>
      <c r="S124">
        <f>3185-2135</f>
        <v>1050</v>
      </c>
      <c r="T124">
        <v>123.78230000000001</v>
      </c>
      <c r="U124" s="1">
        <v>-4</v>
      </c>
    </row>
    <row r="125" spans="16:21">
      <c r="P125">
        <v>122.5763</v>
      </c>
      <c r="Q125" s="1">
        <v>0.88691500000000001</v>
      </c>
      <c r="R125">
        <v>122.5763</v>
      </c>
      <c r="S125">
        <f>3339-2220</f>
        <v>1119</v>
      </c>
      <c r="T125">
        <v>122.5763</v>
      </c>
      <c r="U125" s="1">
        <v>8</v>
      </c>
    </row>
    <row r="126" spans="16:21">
      <c r="P126">
        <v>125.99630000000001</v>
      </c>
      <c r="Q126" s="1">
        <v>0.92738299999999996</v>
      </c>
      <c r="R126">
        <v>125.99630000000001</v>
      </c>
      <c r="S126">
        <f>2998-2004</f>
        <v>994</v>
      </c>
      <c r="T126">
        <v>125.99630000000001</v>
      </c>
      <c r="U126" s="1">
        <v>2</v>
      </c>
    </row>
    <row r="127" spans="16:21">
      <c r="P127">
        <v>124.5711</v>
      </c>
      <c r="Q127" s="1">
        <v>0.85993699999999995</v>
      </c>
      <c r="R127">
        <v>124.5711</v>
      </c>
      <c r="S127">
        <f>2766-2194</f>
        <v>572</v>
      </c>
      <c r="T127">
        <v>124.5711</v>
      </c>
      <c r="U127" s="1">
        <v>2</v>
      </c>
    </row>
    <row r="128" spans="16:21">
      <c r="P128">
        <v>125.2975</v>
      </c>
      <c r="Q128" s="1">
        <v>0.97122299999999995</v>
      </c>
      <c r="R128">
        <v>125.2975</v>
      </c>
      <c r="S128">
        <f>3181-2147</f>
        <v>1034</v>
      </c>
      <c r="T128">
        <v>125.2975</v>
      </c>
      <c r="U128" s="1">
        <v>5</v>
      </c>
    </row>
    <row r="129" spans="16:21">
      <c r="P129">
        <v>125.95820000000001</v>
      </c>
      <c r="Q129" s="1">
        <v>1.4163669999999999</v>
      </c>
      <c r="R129">
        <v>125.95820000000001</v>
      </c>
      <c r="S129">
        <f>3212-2083</f>
        <v>1129</v>
      </c>
      <c r="T129">
        <v>125.95820000000001</v>
      </c>
      <c r="U129">
        <f>33-41</f>
        <v>-8</v>
      </c>
    </row>
    <row r="130" spans="16:21">
      <c r="P130">
        <v>124.60339999999999</v>
      </c>
      <c r="Q130" s="1">
        <v>0.98471200000000003</v>
      </c>
      <c r="R130">
        <v>124.60339999999999</v>
      </c>
      <c r="S130">
        <f>3598-2729</f>
        <v>869</v>
      </c>
      <c r="T130">
        <v>124.60339999999999</v>
      </c>
      <c r="U130">
        <v>2</v>
      </c>
    </row>
    <row r="131" spans="16:21">
      <c r="P131">
        <v>125.84350000000001</v>
      </c>
      <c r="Q131" s="1">
        <v>1.0757639999999999</v>
      </c>
      <c r="R131">
        <v>125.84350000000001</v>
      </c>
      <c r="S131">
        <f>3033-2014</f>
        <v>1019</v>
      </c>
      <c r="T131">
        <v>125.84350000000001</v>
      </c>
      <c r="U131">
        <v>5</v>
      </c>
    </row>
    <row r="132" spans="16:21">
      <c r="P132">
        <v>120.84829999999999</v>
      </c>
      <c r="Q132" s="1">
        <v>0.98808499999999999</v>
      </c>
      <c r="R132">
        <v>120.84829999999999</v>
      </c>
      <c r="S132">
        <f>3150-2108</f>
        <v>1042</v>
      </c>
      <c r="T132">
        <v>120.84829999999999</v>
      </c>
      <c r="U132">
        <f>39-48</f>
        <v>-9</v>
      </c>
    </row>
    <row r="133" spans="16:21">
      <c r="P133">
        <v>121.4308</v>
      </c>
      <c r="Q133" s="1">
        <v>0.92738299999999996</v>
      </c>
      <c r="R133">
        <v>121.4308</v>
      </c>
      <c r="S133">
        <f>3230-2105</f>
        <v>1125</v>
      </c>
      <c r="T133">
        <v>121.4308</v>
      </c>
      <c r="U133">
        <v>-4</v>
      </c>
    </row>
    <row r="134" spans="16:21">
      <c r="P134">
        <v>121.8107</v>
      </c>
      <c r="Q134" s="1">
        <v>1.102743</v>
      </c>
      <c r="R134">
        <v>121.8107</v>
      </c>
      <c r="S134">
        <f>3032-2050</f>
        <v>982</v>
      </c>
      <c r="T134">
        <v>121.8107</v>
      </c>
      <c r="U134">
        <v>4</v>
      </c>
    </row>
    <row r="135" spans="16:21">
      <c r="P135" s="3">
        <v>127.9624</v>
      </c>
      <c r="Q135" s="1">
        <v>1.5109710000000001</v>
      </c>
      <c r="R135" s="3">
        <v>127.9624</v>
      </c>
      <c r="S135">
        <f>4395-3278</f>
        <v>1117</v>
      </c>
      <c r="T135" s="3">
        <v>127.9624</v>
      </c>
      <c r="U135">
        <f>23-39</f>
        <v>-16</v>
      </c>
    </row>
    <row r="136" spans="16:21">
      <c r="P136" s="3">
        <v>126.8956</v>
      </c>
      <c r="Q136" s="1">
        <v>1.0319240000000001</v>
      </c>
      <c r="R136" s="3">
        <v>126.8956</v>
      </c>
      <c r="S136">
        <f>3244-2142</f>
        <v>1102</v>
      </c>
      <c r="T136" s="3">
        <v>126.8956</v>
      </c>
      <c r="U136">
        <v>-2</v>
      </c>
    </row>
    <row r="137" spans="16:21">
      <c r="P137" s="3">
        <v>124.526</v>
      </c>
      <c r="Q137" s="1">
        <v>1.294964</v>
      </c>
      <c r="R137" s="3">
        <v>124.526</v>
      </c>
      <c r="S137">
        <f>3221-2299</f>
        <v>922</v>
      </c>
      <c r="T137" s="3">
        <v>124.526</v>
      </c>
      <c r="U137">
        <v>-4</v>
      </c>
    </row>
    <row r="138" spans="16:21">
      <c r="P138" s="3">
        <v>124.11499999999999</v>
      </c>
      <c r="Q138" s="1">
        <v>0.80598000000000003</v>
      </c>
      <c r="R138" s="3">
        <v>124.11499999999999</v>
      </c>
      <c r="S138">
        <f>3662-2216</f>
        <v>1446</v>
      </c>
      <c r="T138" s="3">
        <v>124.11499999999999</v>
      </c>
      <c r="U138">
        <v>2</v>
      </c>
    </row>
    <row r="139" spans="16:21">
      <c r="P139" s="3">
        <v>123.9854</v>
      </c>
      <c r="Q139" s="1">
        <v>0.88354299999999997</v>
      </c>
      <c r="R139" s="3">
        <v>123.9854</v>
      </c>
      <c r="S139">
        <f>3240-2121</f>
        <v>1119</v>
      </c>
      <c r="T139" s="3">
        <v>123.9854</v>
      </c>
      <c r="U139">
        <v>-20</v>
      </c>
    </row>
    <row r="140" spans="16:21">
      <c r="P140" s="3">
        <v>123.831</v>
      </c>
      <c r="Q140" s="1">
        <v>1.133094</v>
      </c>
      <c r="R140" s="3">
        <v>123.831</v>
      </c>
      <c r="S140">
        <f>3088-2050</f>
        <v>1038</v>
      </c>
      <c r="T140" s="3">
        <v>123.831</v>
      </c>
      <c r="U140">
        <v>-2</v>
      </c>
    </row>
    <row r="141" spans="16:21">
      <c r="P141" s="3">
        <v>122.3481</v>
      </c>
      <c r="Q141" s="1">
        <v>0.86330899999999999</v>
      </c>
      <c r="R141" s="3">
        <v>122.3481</v>
      </c>
      <c r="S141">
        <f>3502-2654</f>
        <v>848</v>
      </c>
      <c r="T141" s="3">
        <v>122.3481</v>
      </c>
      <c r="U141">
        <v>1</v>
      </c>
    </row>
    <row r="142" spans="16:21">
      <c r="P142" s="3">
        <v>121.94889999999999</v>
      </c>
      <c r="Q142" s="1">
        <v>0.83970299999999998</v>
      </c>
      <c r="R142" s="3">
        <v>121.94889999999999</v>
      </c>
      <c r="S142">
        <f>3410-2269</f>
        <v>1141</v>
      </c>
      <c r="T142" s="3">
        <v>121.94889999999999</v>
      </c>
      <c r="U14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selection activeCell="J135" sqref="J135"/>
    </sheetView>
  </sheetViews>
  <sheetFormatPr defaultRowHeight="15"/>
  <sheetData>
    <row r="1" spans="1:15">
      <c r="A1" s="8" t="s">
        <v>31</v>
      </c>
      <c r="B1" s="9"/>
      <c r="C1" s="9"/>
      <c r="D1" s="9"/>
      <c r="E1" s="9"/>
      <c r="F1" s="9"/>
      <c r="G1" s="10"/>
      <c r="I1" s="8" t="s">
        <v>32</v>
      </c>
      <c r="J1" s="9"/>
      <c r="K1" s="9"/>
      <c r="L1" s="9"/>
      <c r="M1" s="9"/>
      <c r="N1" s="9"/>
      <c r="O1" s="10"/>
    </row>
    <row r="2" spans="1:15">
      <c r="A2" s="11"/>
      <c r="B2" s="2"/>
      <c r="C2" s="2"/>
      <c r="D2" s="2"/>
      <c r="E2" s="2"/>
      <c r="F2" s="2"/>
      <c r="G2" s="12"/>
      <c r="I2" s="11"/>
      <c r="J2" s="2"/>
      <c r="K2" s="2"/>
      <c r="L2" s="2"/>
      <c r="M2" s="2"/>
      <c r="N2" s="2"/>
      <c r="O2" s="12"/>
    </row>
    <row r="3" spans="1:15" ht="15.75" thickBot="1">
      <c r="A3" s="11" t="s">
        <v>15</v>
      </c>
      <c r="B3" s="2"/>
      <c r="C3" s="2"/>
      <c r="D3" s="2"/>
      <c r="E3" s="2"/>
      <c r="F3" s="2"/>
      <c r="G3" s="12"/>
      <c r="I3" s="11" t="s">
        <v>15</v>
      </c>
      <c r="J3" s="2"/>
      <c r="K3" s="2"/>
      <c r="L3" s="2"/>
      <c r="M3" s="2"/>
      <c r="N3" s="2"/>
      <c r="O3" s="12"/>
    </row>
    <row r="4" spans="1:15">
      <c r="A4" s="13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2"/>
      <c r="G4" s="12"/>
      <c r="I4" s="13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2"/>
      <c r="O4" s="12"/>
    </row>
    <row r="5" spans="1:15">
      <c r="A5" s="14" t="s">
        <v>1</v>
      </c>
      <c r="B5" s="5">
        <v>99</v>
      </c>
      <c r="C5" s="5">
        <v>99.402710000000027</v>
      </c>
      <c r="D5" s="5">
        <v>1.004067777777778</v>
      </c>
      <c r="E5" s="5">
        <v>2.3041495934357815E-2</v>
      </c>
      <c r="F5" s="2"/>
      <c r="G5" s="12"/>
      <c r="I5" s="14" t="s">
        <v>1</v>
      </c>
      <c r="J5" s="5">
        <v>99</v>
      </c>
      <c r="K5" s="5">
        <v>104793</v>
      </c>
      <c r="L5" s="5">
        <v>1058.5151515151515</v>
      </c>
      <c r="M5" s="5">
        <v>10368.619666048307</v>
      </c>
      <c r="N5" s="2"/>
      <c r="O5" s="12"/>
    </row>
    <row r="6" spans="1:15">
      <c r="A6" s="14" t="s">
        <v>2</v>
      </c>
      <c r="B6" s="5">
        <v>26</v>
      </c>
      <c r="C6" s="5">
        <v>24.965511000000003</v>
      </c>
      <c r="D6" s="5">
        <v>0.96021196153846167</v>
      </c>
      <c r="E6" s="5">
        <v>2.5248523764358311E-2</v>
      </c>
      <c r="F6" s="2"/>
      <c r="G6" s="12"/>
      <c r="I6" s="14" t="s">
        <v>2</v>
      </c>
      <c r="J6" s="5">
        <v>26</v>
      </c>
      <c r="K6" s="5">
        <v>27751</v>
      </c>
      <c r="L6" s="5">
        <v>1067.3461538461538</v>
      </c>
      <c r="M6" s="5">
        <v>10413.995384615362</v>
      </c>
      <c r="N6" s="2"/>
      <c r="O6" s="12"/>
    </row>
    <row r="7" spans="1:15" ht="15.75" thickBot="1">
      <c r="A7" s="15" t="s">
        <v>3</v>
      </c>
      <c r="B7" s="6">
        <v>16</v>
      </c>
      <c r="C7" s="6">
        <v>16.763714999999998</v>
      </c>
      <c r="D7" s="6">
        <v>1.0477321874999999</v>
      </c>
      <c r="E7" s="6">
        <v>3.4248747998563069E-2</v>
      </c>
      <c r="F7" s="2"/>
      <c r="G7" s="12"/>
      <c r="I7" s="15" t="s">
        <v>3</v>
      </c>
      <c r="J7" s="6">
        <v>16</v>
      </c>
      <c r="K7" s="6">
        <v>17151</v>
      </c>
      <c r="L7" s="6">
        <v>1071.9375</v>
      </c>
      <c r="M7" s="6">
        <v>5170.729166666667</v>
      </c>
      <c r="N7" s="2"/>
      <c r="O7" s="12"/>
    </row>
    <row r="8" spans="1:15">
      <c r="A8" s="11"/>
      <c r="B8" s="2"/>
      <c r="C8" s="2"/>
      <c r="D8" s="2"/>
      <c r="E8" s="2"/>
      <c r="F8" s="2"/>
      <c r="G8" s="12"/>
      <c r="I8" s="11"/>
      <c r="J8" s="2"/>
      <c r="K8" s="2"/>
      <c r="L8" s="2"/>
      <c r="M8" s="2"/>
      <c r="N8" s="2"/>
      <c r="O8" s="12"/>
    </row>
    <row r="9" spans="1:15">
      <c r="A9" s="11"/>
      <c r="B9" s="2"/>
      <c r="C9" s="2"/>
      <c r="D9" s="2"/>
      <c r="E9" s="2"/>
      <c r="F9" s="2"/>
      <c r="G9" s="12"/>
      <c r="I9" s="11"/>
      <c r="J9" s="2"/>
      <c r="K9" s="2"/>
      <c r="L9" s="2"/>
      <c r="M9" s="2"/>
      <c r="N9" s="2"/>
      <c r="O9" s="12"/>
    </row>
    <row r="10" spans="1:15" ht="15.75" thickBot="1">
      <c r="A10" s="11" t="s">
        <v>21</v>
      </c>
      <c r="B10" s="2"/>
      <c r="C10" s="2"/>
      <c r="D10" s="2"/>
      <c r="E10" s="2"/>
      <c r="F10" s="2"/>
      <c r="G10" s="12"/>
      <c r="I10" s="11" t="s">
        <v>21</v>
      </c>
      <c r="J10" s="2"/>
      <c r="K10" s="2"/>
      <c r="L10" s="2"/>
      <c r="M10" s="2"/>
      <c r="N10" s="2"/>
      <c r="O10" s="12"/>
    </row>
    <row r="11" spans="1:15">
      <c r="A11" s="13" t="s">
        <v>22</v>
      </c>
      <c r="B11" s="7" t="s">
        <v>23</v>
      </c>
      <c r="C11" s="7" t="s">
        <v>24</v>
      </c>
      <c r="D11" s="7" t="s">
        <v>25</v>
      </c>
      <c r="E11" s="7" t="s">
        <v>26</v>
      </c>
      <c r="F11" s="7" t="s">
        <v>27</v>
      </c>
      <c r="G11" s="16" t="s">
        <v>28</v>
      </c>
      <c r="I11" s="13" t="s">
        <v>22</v>
      </c>
      <c r="J11" s="7" t="s">
        <v>23</v>
      </c>
      <c r="K11" s="7" t="s">
        <v>24</v>
      </c>
      <c r="L11" s="7" t="s">
        <v>25</v>
      </c>
      <c r="M11" s="7" t="s">
        <v>26</v>
      </c>
      <c r="N11" s="7" t="s">
        <v>27</v>
      </c>
      <c r="O11" s="16" t="s">
        <v>28</v>
      </c>
    </row>
    <row r="12" spans="1:15">
      <c r="A12" s="14" t="s">
        <v>29</v>
      </c>
      <c r="B12" s="5">
        <v>7.9128755818143048E-2</v>
      </c>
      <c r="C12" s="5">
        <v>2</v>
      </c>
      <c r="D12" s="5">
        <v>3.9564377909071524E-2</v>
      </c>
      <c r="E12" s="5">
        <v>1.604427457559817</v>
      </c>
      <c r="F12" s="5">
        <v>0.20473104518322782</v>
      </c>
      <c r="G12" s="17">
        <v>3.0617156998171353</v>
      </c>
      <c r="I12" s="14" t="s">
        <v>29</v>
      </c>
      <c r="J12" s="5">
        <v>3509.7839452212211</v>
      </c>
      <c r="K12" s="5">
        <v>2</v>
      </c>
      <c r="L12" s="5">
        <v>1754.8919726106105</v>
      </c>
      <c r="M12" s="5">
        <v>0.17885430875851299</v>
      </c>
      <c r="N12" s="5">
        <v>0.83642125003914791</v>
      </c>
      <c r="O12" s="17">
        <v>3.0617156998171353</v>
      </c>
    </row>
    <row r="13" spans="1:15">
      <c r="A13" s="14" t="s">
        <v>30</v>
      </c>
      <c r="B13" s="5">
        <v>3.4030109156545101</v>
      </c>
      <c r="C13" s="5">
        <v>138</v>
      </c>
      <c r="D13" s="5">
        <v>2.4659499388800799E-2</v>
      </c>
      <c r="E13" s="5"/>
      <c r="F13" s="5"/>
      <c r="G13" s="17"/>
      <c r="I13" s="14" t="s">
        <v>30</v>
      </c>
      <c r="J13" s="5">
        <v>1354035.5493881125</v>
      </c>
      <c r="K13" s="5">
        <v>138</v>
      </c>
      <c r="L13" s="5">
        <v>9811.8518071602357</v>
      </c>
      <c r="M13" s="5"/>
      <c r="N13" s="5"/>
      <c r="O13" s="17"/>
    </row>
    <row r="14" spans="1:15">
      <c r="A14" s="14"/>
      <c r="B14" s="5"/>
      <c r="C14" s="5"/>
      <c r="D14" s="5"/>
      <c r="E14" s="5"/>
      <c r="F14" s="5"/>
      <c r="G14" s="17"/>
      <c r="I14" s="14"/>
      <c r="J14" s="5"/>
      <c r="K14" s="5"/>
      <c r="L14" s="5"/>
      <c r="M14" s="5"/>
      <c r="N14" s="5"/>
      <c r="O14" s="17"/>
    </row>
    <row r="15" spans="1:15">
      <c r="A15" s="18" t="s">
        <v>4</v>
      </c>
      <c r="B15" s="19">
        <v>3.4821396714726531</v>
      </c>
      <c r="C15" s="19">
        <v>140</v>
      </c>
      <c r="D15" s="19"/>
      <c r="E15" s="19"/>
      <c r="F15" s="19"/>
      <c r="G15" s="20"/>
      <c r="I15" s="18" t="s">
        <v>4</v>
      </c>
      <c r="J15" s="19">
        <v>1357545.3333333337</v>
      </c>
      <c r="K15" s="19">
        <v>140</v>
      </c>
      <c r="L15" s="19"/>
      <c r="M15" s="19"/>
      <c r="N15" s="19"/>
      <c r="O15" s="20"/>
    </row>
    <row r="17" spans="1:15">
      <c r="A17" s="8" t="s">
        <v>33</v>
      </c>
      <c r="B17" s="9"/>
      <c r="C17" s="9"/>
      <c r="D17" s="9"/>
      <c r="E17" s="9"/>
      <c r="F17" s="9"/>
      <c r="G17" s="10"/>
      <c r="I17" s="8" t="s">
        <v>36</v>
      </c>
      <c r="J17" s="9"/>
      <c r="K17" s="9"/>
      <c r="L17" s="9"/>
      <c r="M17" s="9"/>
      <c r="N17" s="9"/>
      <c r="O17" s="10"/>
    </row>
    <row r="18" spans="1:15">
      <c r="A18" s="11"/>
      <c r="B18" s="2"/>
      <c r="C18" s="2"/>
      <c r="D18" s="2"/>
      <c r="E18" s="2"/>
      <c r="F18" s="2"/>
      <c r="G18" s="12"/>
      <c r="I18" s="11"/>
      <c r="J18" s="2"/>
      <c r="K18" s="2"/>
      <c r="L18" s="2"/>
      <c r="M18" s="2"/>
      <c r="N18" s="2"/>
      <c r="O18" s="12"/>
    </row>
    <row r="19" spans="1:15" ht="15.75" thickBot="1">
      <c r="A19" s="11" t="s">
        <v>15</v>
      </c>
      <c r="B19" s="2"/>
      <c r="C19" s="2"/>
      <c r="D19" s="2"/>
      <c r="E19" s="2"/>
      <c r="F19" s="2"/>
      <c r="G19" s="12"/>
      <c r="I19" s="11" t="s">
        <v>15</v>
      </c>
      <c r="J19" s="2"/>
      <c r="K19" s="2"/>
      <c r="L19" s="2"/>
      <c r="M19" s="2"/>
      <c r="N19" s="2"/>
      <c r="O19" s="12"/>
    </row>
    <row r="20" spans="1:15">
      <c r="A20" s="13" t="s">
        <v>16</v>
      </c>
      <c r="B20" s="7" t="s">
        <v>17</v>
      </c>
      <c r="C20" s="7" t="s">
        <v>18</v>
      </c>
      <c r="D20" s="7" t="s">
        <v>19</v>
      </c>
      <c r="E20" s="7" t="s">
        <v>20</v>
      </c>
      <c r="F20" s="2"/>
      <c r="G20" s="12"/>
      <c r="I20" s="13" t="s">
        <v>16</v>
      </c>
      <c r="J20" s="7" t="s">
        <v>17</v>
      </c>
      <c r="K20" s="7" t="s">
        <v>18</v>
      </c>
      <c r="L20" s="7" t="s">
        <v>19</v>
      </c>
      <c r="M20" s="7" t="s">
        <v>20</v>
      </c>
      <c r="N20" s="2"/>
      <c r="O20" s="12"/>
    </row>
    <row r="21" spans="1:15">
      <c r="A21" s="14" t="s">
        <v>1</v>
      </c>
      <c r="B21" s="5">
        <v>98</v>
      </c>
      <c r="C21" s="5">
        <v>79</v>
      </c>
      <c r="D21" s="5">
        <v>0.80612244897959184</v>
      </c>
      <c r="E21" s="5">
        <v>29.642436355985691</v>
      </c>
      <c r="F21" s="2"/>
      <c r="G21" s="12"/>
      <c r="I21" s="14" t="s">
        <v>34</v>
      </c>
      <c r="J21" s="5">
        <v>54</v>
      </c>
      <c r="K21" s="5">
        <v>54.233544999999999</v>
      </c>
      <c r="L21" s="5">
        <v>1.0043249074074074</v>
      </c>
      <c r="M21" s="5">
        <v>1.9190657716161189E-2</v>
      </c>
      <c r="N21" s="2"/>
      <c r="O21" s="12"/>
    </row>
    <row r="22" spans="1:15" ht="15.75" thickBot="1">
      <c r="A22" s="14" t="s">
        <v>2</v>
      </c>
      <c r="B22" s="5">
        <v>26</v>
      </c>
      <c r="C22" s="5">
        <v>-37</v>
      </c>
      <c r="D22" s="5">
        <v>-1.4230769230769231</v>
      </c>
      <c r="E22" s="5">
        <v>31.773846153846151</v>
      </c>
      <c r="F22" s="2"/>
      <c r="G22" s="12"/>
      <c r="I22" s="15" t="s">
        <v>35</v>
      </c>
      <c r="J22" s="6">
        <v>87</v>
      </c>
      <c r="K22" s="6">
        <v>86.898391000000004</v>
      </c>
      <c r="L22" s="6">
        <v>0.99883208045977012</v>
      </c>
      <c r="M22" s="6">
        <v>2.8651506227284074E-2</v>
      </c>
      <c r="N22" s="2"/>
      <c r="O22" s="12"/>
    </row>
    <row r="23" spans="1:15" ht="15.75" thickBot="1">
      <c r="A23" s="15" t="s">
        <v>3</v>
      </c>
      <c r="B23" s="6">
        <v>16</v>
      </c>
      <c r="C23" s="6">
        <v>-37</v>
      </c>
      <c r="D23" s="6">
        <v>-2.3125</v>
      </c>
      <c r="E23" s="6">
        <v>18.229166666666668</v>
      </c>
      <c r="F23" s="2"/>
      <c r="G23" s="12"/>
      <c r="I23" s="11"/>
      <c r="J23" s="2"/>
      <c r="K23" s="2"/>
      <c r="L23" s="2"/>
      <c r="M23" s="2"/>
      <c r="N23" s="2"/>
      <c r="O23" s="12"/>
    </row>
    <row r="24" spans="1:15">
      <c r="A24" s="11"/>
      <c r="B24" s="2"/>
      <c r="C24" s="2"/>
      <c r="D24" s="2"/>
      <c r="E24" s="2"/>
      <c r="F24" s="2"/>
      <c r="G24" s="12"/>
      <c r="I24" s="11"/>
      <c r="J24" s="2"/>
      <c r="K24" s="2"/>
      <c r="L24" s="2"/>
      <c r="M24" s="2"/>
      <c r="N24" s="2"/>
      <c r="O24" s="12"/>
    </row>
    <row r="25" spans="1:15" ht="15.75" thickBot="1">
      <c r="A25" s="11"/>
      <c r="B25" s="2"/>
      <c r="C25" s="2"/>
      <c r="D25" s="2"/>
      <c r="E25" s="2"/>
      <c r="F25" s="2"/>
      <c r="G25" s="12"/>
      <c r="I25" s="11" t="s">
        <v>21</v>
      </c>
      <c r="J25" s="2"/>
      <c r="K25" s="2"/>
      <c r="L25" s="2"/>
      <c r="M25" s="2"/>
      <c r="N25" s="2"/>
      <c r="O25" s="12"/>
    </row>
    <row r="26" spans="1:15" ht="15.75" thickBot="1">
      <c r="A26" s="11" t="s">
        <v>21</v>
      </c>
      <c r="B26" s="2"/>
      <c r="C26" s="2"/>
      <c r="D26" s="2"/>
      <c r="E26" s="2"/>
      <c r="F26" s="2"/>
      <c r="G26" s="12"/>
      <c r="I26" s="13" t="s">
        <v>22</v>
      </c>
      <c r="J26" s="7" t="s">
        <v>23</v>
      </c>
      <c r="K26" s="7" t="s">
        <v>24</v>
      </c>
      <c r="L26" s="7" t="s">
        <v>25</v>
      </c>
      <c r="M26" s="7" t="s">
        <v>26</v>
      </c>
      <c r="N26" s="7" t="s">
        <v>27</v>
      </c>
      <c r="O26" s="16" t="s">
        <v>28</v>
      </c>
    </row>
    <row r="27" spans="1:15">
      <c r="A27" s="13" t="s">
        <v>22</v>
      </c>
      <c r="B27" s="7" t="s">
        <v>23</v>
      </c>
      <c r="C27" s="7" t="s">
        <v>24</v>
      </c>
      <c r="D27" s="7" t="s">
        <v>25</v>
      </c>
      <c r="E27" s="7" t="s">
        <v>26</v>
      </c>
      <c r="F27" s="7" t="s">
        <v>27</v>
      </c>
      <c r="G27" s="16" t="s">
        <v>28</v>
      </c>
      <c r="I27" s="14" t="s">
        <v>29</v>
      </c>
      <c r="J27" s="5">
        <v>1.0052769696797803E-3</v>
      </c>
      <c r="K27" s="5">
        <v>1</v>
      </c>
      <c r="L27" s="5">
        <v>1.0052769696797803E-3</v>
      </c>
      <c r="M27" s="5">
        <v>4.0140219523308637E-2</v>
      </c>
      <c r="N27" s="5">
        <v>0.84149950791776962</v>
      </c>
      <c r="O27" s="17">
        <v>3.9092316356268526</v>
      </c>
    </row>
    <row r="28" spans="1:15">
      <c r="A28" s="14" t="s">
        <v>29</v>
      </c>
      <c r="B28" s="5">
        <v>201.72144819466212</v>
      </c>
      <c r="C28" s="5">
        <v>2</v>
      </c>
      <c r="D28" s="5">
        <v>100.86072409733106</v>
      </c>
      <c r="E28" s="5">
        <v>3.504328896071776</v>
      </c>
      <c r="F28" s="5">
        <v>3.2789860531920428E-2</v>
      </c>
      <c r="G28" s="17">
        <v>3.0622044032849161</v>
      </c>
      <c r="I28" s="14" t="s">
        <v>30</v>
      </c>
      <c r="J28" s="5">
        <v>3.4811343945029742</v>
      </c>
      <c r="K28" s="5">
        <v>139</v>
      </c>
      <c r="L28" s="5">
        <v>2.504413233455377E-2</v>
      </c>
      <c r="M28" s="5"/>
      <c r="N28" s="5"/>
      <c r="O28" s="17"/>
    </row>
    <row r="29" spans="1:15">
      <c r="A29" s="14" t="s">
        <v>30</v>
      </c>
      <c r="B29" s="5">
        <v>3943.0999803767663</v>
      </c>
      <c r="C29" s="5">
        <v>137</v>
      </c>
      <c r="D29" s="5">
        <v>28.781751681582236</v>
      </c>
      <c r="E29" s="5"/>
      <c r="F29" s="5"/>
      <c r="G29" s="17"/>
      <c r="I29" s="14"/>
      <c r="J29" s="5"/>
      <c r="K29" s="5"/>
      <c r="L29" s="5"/>
      <c r="M29" s="5"/>
      <c r="N29" s="5"/>
      <c r="O29" s="17"/>
    </row>
    <row r="30" spans="1:15">
      <c r="A30" s="14"/>
      <c r="B30" s="5"/>
      <c r="C30" s="5"/>
      <c r="D30" s="5"/>
      <c r="E30" s="5"/>
      <c r="F30" s="5"/>
      <c r="G30" s="17"/>
      <c r="I30" s="18" t="s">
        <v>4</v>
      </c>
      <c r="J30" s="19">
        <v>3.482139671472654</v>
      </c>
      <c r="K30" s="19">
        <v>140</v>
      </c>
      <c r="L30" s="19"/>
      <c r="M30" s="19"/>
      <c r="N30" s="19"/>
      <c r="O30" s="20"/>
    </row>
    <row r="31" spans="1:15">
      <c r="A31" s="18" t="s">
        <v>4</v>
      </c>
      <c r="B31" s="19">
        <v>4144.8214285714284</v>
      </c>
      <c r="C31" s="19">
        <v>139</v>
      </c>
      <c r="D31" s="19"/>
      <c r="E31" s="19"/>
      <c r="F31" s="19"/>
      <c r="G31" s="20"/>
    </row>
    <row r="33" spans="1:17">
      <c r="A33" s="8" t="s">
        <v>37</v>
      </c>
      <c r="B33" s="9"/>
      <c r="C33" s="9"/>
      <c r="D33" s="9"/>
      <c r="E33" s="9"/>
      <c r="F33" s="9"/>
      <c r="G33" s="10"/>
      <c r="I33" s="8" t="s">
        <v>38</v>
      </c>
      <c r="J33" s="9"/>
      <c r="K33" s="9"/>
      <c r="L33" s="9"/>
      <c r="M33" s="9"/>
      <c r="N33" s="9"/>
      <c r="O33" s="10"/>
    </row>
    <row r="34" spans="1:17">
      <c r="A34" s="11"/>
      <c r="B34" s="2"/>
      <c r="C34" s="2"/>
      <c r="D34" s="2"/>
      <c r="E34" s="2"/>
      <c r="F34" s="2"/>
      <c r="G34" s="12"/>
      <c r="I34" s="11"/>
      <c r="J34" s="2"/>
      <c r="K34" s="2"/>
      <c r="L34" s="2"/>
      <c r="M34" s="2"/>
      <c r="N34" s="2"/>
      <c r="O34" s="12"/>
    </row>
    <row r="35" spans="1:17" ht="15.75" thickBot="1">
      <c r="A35" s="11" t="s">
        <v>15</v>
      </c>
      <c r="B35" s="2"/>
      <c r="C35" s="2"/>
      <c r="D35" s="2"/>
      <c r="E35" s="2"/>
      <c r="F35" s="2"/>
      <c r="G35" s="12"/>
      <c r="I35" s="11" t="s">
        <v>15</v>
      </c>
      <c r="J35" s="2"/>
      <c r="K35" s="2"/>
      <c r="L35" s="2"/>
      <c r="M35" s="2"/>
      <c r="N35" s="2"/>
      <c r="O35" s="12"/>
    </row>
    <row r="36" spans="1:17">
      <c r="A36" s="13" t="s">
        <v>16</v>
      </c>
      <c r="B36" s="7" t="s">
        <v>17</v>
      </c>
      <c r="C36" s="7" t="s">
        <v>18</v>
      </c>
      <c r="D36" s="7" t="s">
        <v>19</v>
      </c>
      <c r="E36" s="7" t="s">
        <v>20</v>
      </c>
      <c r="F36" s="2"/>
      <c r="G36" s="12"/>
      <c r="I36" s="13" t="s">
        <v>16</v>
      </c>
      <c r="J36" s="7" t="s">
        <v>17</v>
      </c>
      <c r="K36" s="7" t="s">
        <v>18</v>
      </c>
      <c r="L36" s="7" t="s">
        <v>19</v>
      </c>
      <c r="M36" s="7" t="s">
        <v>20</v>
      </c>
      <c r="N36" s="2"/>
      <c r="O36" s="12"/>
    </row>
    <row r="37" spans="1:17">
      <c r="A37" s="14" t="s">
        <v>34</v>
      </c>
      <c r="B37" s="5">
        <v>54</v>
      </c>
      <c r="C37" s="5">
        <v>57413</v>
      </c>
      <c r="D37" s="5">
        <v>1063.2037037037037</v>
      </c>
      <c r="E37" s="5">
        <v>3759.033193570966</v>
      </c>
      <c r="F37" s="2"/>
      <c r="G37" s="12"/>
      <c r="I37" s="14" t="s">
        <v>34</v>
      </c>
      <c r="J37" s="5">
        <v>54</v>
      </c>
      <c r="K37" s="5">
        <v>-9</v>
      </c>
      <c r="L37" s="5">
        <v>-0.16666666666666666</v>
      </c>
      <c r="M37" s="5">
        <v>18.59433962264151</v>
      </c>
      <c r="N37" s="2"/>
      <c r="O37" s="12"/>
    </row>
    <row r="38" spans="1:17" ht="15.75" thickBot="1">
      <c r="A38" s="15" t="s">
        <v>35</v>
      </c>
      <c r="B38" s="6">
        <v>87</v>
      </c>
      <c r="C38" s="6">
        <v>92282</v>
      </c>
      <c r="D38" s="6">
        <v>1060.7126436781609</v>
      </c>
      <c r="E38" s="6">
        <v>13466.393210371567</v>
      </c>
      <c r="F38" s="2"/>
      <c r="G38" s="12"/>
      <c r="I38" s="15" t="s">
        <v>35</v>
      </c>
      <c r="J38" s="6">
        <v>87</v>
      </c>
      <c r="K38" s="6">
        <v>18</v>
      </c>
      <c r="L38" s="6">
        <v>0.20689655172413793</v>
      </c>
      <c r="M38" s="6">
        <v>36.863672814755411</v>
      </c>
      <c r="N38" s="2"/>
      <c r="O38" s="12"/>
    </row>
    <row r="39" spans="1:17">
      <c r="A39" s="11"/>
      <c r="B39" s="2"/>
      <c r="C39" s="2"/>
      <c r="D39" s="2"/>
      <c r="E39" s="2"/>
      <c r="F39" s="2"/>
      <c r="G39" s="12"/>
      <c r="I39" s="11"/>
      <c r="J39" s="2"/>
      <c r="K39" s="2"/>
      <c r="L39" s="2"/>
      <c r="M39" s="2"/>
      <c r="N39" s="2"/>
      <c r="O39" s="12"/>
    </row>
    <row r="40" spans="1:17">
      <c r="A40" s="11"/>
      <c r="B40" s="2"/>
      <c r="C40" s="2"/>
      <c r="D40" s="2"/>
      <c r="E40" s="2"/>
      <c r="F40" s="2"/>
      <c r="G40" s="12"/>
      <c r="I40" s="11"/>
      <c r="J40" s="2"/>
      <c r="K40" s="2"/>
      <c r="L40" s="2"/>
      <c r="M40" s="2"/>
      <c r="N40" s="2"/>
      <c r="O40" s="12"/>
    </row>
    <row r="41" spans="1:17" ht="15.75" thickBot="1">
      <c r="A41" s="11" t="s">
        <v>21</v>
      </c>
      <c r="B41" s="2"/>
      <c r="C41" s="2"/>
      <c r="D41" s="2"/>
      <c r="E41" s="2"/>
      <c r="F41" s="2"/>
      <c r="G41" s="12"/>
      <c r="I41" s="11" t="s">
        <v>21</v>
      </c>
      <c r="J41" s="2"/>
      <c r="K41" s="2"/>
      <c r="L41" s="2"/>
      <c r="M41" s="2"/>
      <c r="N41" s="2"/>
      <c r="O41" s="12"/>
    </row>
    <row r="42" spans="1:17">
      <c r="A42" s="13" t="s">
        <v>22</v>
      </c>
      <c r="B42" s="7" t="s">
        <v>23</v>
      </c>
      <c r="C42" s="7" t="s">
        <v>24</v>
      </c>
      <c r="D42" s="7" t="s">
        <v>25</v>
      </c>
      <c r="E42" s="7" t="s">
        <v>26</v>
      </c>
      <c r="F42" s="7" t="s">
        <v>27</v>
      </c>
      <c r="G42" s="16" t="s">
        <v>28</v>
      </c>
      <c r="I42" s="13" t="s">
        <v>22</v>
      </c>
      <c r="J42" s="7" t="s">
        <v>23</v>
      </c>
      <c r="K42" s="7" t="s">
        <v>24</v>
      </c>
      <c r="L42" s="7" t="s">
        <v>25</v>
      </c>
      <c r="M42" s="7" t="s">
        <v>26</v>
      </c>
      <c r="N42" s="7" t="s">
        <v>27</v>
      </c>
      <c r="O42" s="16" t="s">
        <v>28</v>
      </c>
    </row>
    <row r="43" spans="1:17">
      <c r="A43" s="14" t="s">
        <v>29</v>
      </c>
      <c r="B43" s="5">
        <v>206.75798212038353</v>
      </c>
      <c r="C43" s="5">
        <v>1</v>
      </c>
      <c r="D43" s="5">
        <v>206.75798212038353</v>
      </c>
      <c r="E43" s="5">
        <v>2.1173316692408135E-2</v>
      </c>
      <c r="F43" s="5">
        <v>0.88451859168938596</v>
      </c>
      <c r="G43" s="17">
        <v>3.9092316356268526</v>
      </c>
      <c r="I43" s="14" t="s">
        <v>29</v>
      </c>
      <c r="J43" s="5">
        <v>4.6496698459286563</v>
      </c>
      <c r="K43" s="5">
        <v>1</v>
      </c>
      <c r="L43" s="5">
        <v>4.6496698459286563</v>
      </c>
      <c r="M43" s="5">
        <v>0.15551948180918471</v>
      </c>
      <c r="N43" s="5">
        <v>0.69391996850510385</v>
      </c>
      <c r="O43" s="17">
        <v>3.9092316356268526</v>
      </c>
    </row>
    <row r="44" spans="1:17">
      <c r="A44" s="14" t="s">
        <v>30</v>
      </c>
      <c r="B44" s="5">
        <v>1357338.5753512129</v>
      </c>
      <c r="C44" s="5">
        <v>139</v>
      </c>
      <c r="D44" s="5">
        <v>9765.0257219511714</v>
      </c>
      <c r="E44" s="5"/>
      <c r="F44" s="5"/>
      <c r="G44" s="17"/>
      <c r="I44" s="14" t="s">
        <v>30</v>
      </c>
      <c r="J44" s="5">
        <v>4155.7758620689647</v>
      </c>
      <c r="K44" s="5">
        <v>139</v>
      </c>
      <c r="L44" s="5">
        <v>29.897668072438595</v>
      </c>
      <c r="M44" s="5"/>
      <c r="N44" s="5"/>
      <c r="O44" s="17"/>
    </row>
    <row r="45" spans="1:17">
      <c r="A45" s="14"/>
      <c r="B45" s="5"/>
      <c r="C45" s="5"/>
      <c r="D45" s="5"/>
      <c r="E45" s="5"/>
      <c r="F45" s="5"/>
      <c r="G45" s="17"/>
      <c r="I45" s="14"/>
      <c r="J45" s="5"/>
      <c r="K45" s="5"/>
      <c r="L45" s="5"/>
      <c r="M45" s="5"/>
      <c r="N45" s="5"/>
      <c r="O45" s="17"/>
    </row>
    <row r="46" spans="1:17">
      <c r="A46" s="18" t="s">
        <v>4</v>
      </c>
      <c r="B46" s="19">
        <v>1357545.3333333333</v>
      </c>
      <c r="C46" s="19">
        <v>140</v>
      </c>
      <c r="D46" s="19"/>
      <c r="E46" s="19"/>
      <c r="F46" s="19"/>
      <c r="G46" s="20"/>
      <c r="I46" s="18" t="s">
        <v>4</v>
      </c>
      <c r="J46" s="19">
        <v>4160.4255319148933</v>
      </c>
      <c r="K46" s="19">
        <v>140</v>
      </c>
      <c r="L46" s="19"/>
      <c r="M46" s="19"/>
      <c r="N46" s="19"/>
      <c r="O46" s="20"/>
    </row>
    <row r="48" spans="1:17">
      <c r="A48" s="8" t="s">
        <v>39</v>
      </c>
      <c r="B48" s="9"/>
      <c r="C48" s="9"/>
      <c r="D48" s="9"/>
      <c r="E48" s="9"/>
      <c r="F48" s="9"/>
      <c r="G48" s="10"/>
      <c r="I48" s="8" t="s">
        <v>56</v>
      </c>
      <c r="J48" s="9"/>
      <c r="K48" s="9"/>
      <c r="L48" s="9"/>
      <c r="M48" s="9"/>
      <c r="N48" s="9"/>
      <c r="O48" s="9"/>
      <c r="P48" s="9"/>
      <c r="Q48" s="10"/>
    </row>
    <row r="49" spans="1:17" ht="15.75" thickBot="1">
      <c r="A49" s="11"/>
      <c r="B49" s="2"/>
      <c r="C49" s="2"/>
      <c r="D49" s="2"/>
      <c r="E49" s="2"/>
      <c r="F49" s="2"/>
      <c r="G49" s="12"/>
      <c r="I49" s="11"/>
      <c r="J49" s="2"/>
      <c r="K49" s="2"/>
      <c r="L49" s="2"/>
      <c r="M49" s="2"/>
      <c r="N49" s="2"/>
      <c r="O49" s="2"/>
      <c r="P49" s="2"/>
      <c r="Q49" s="12"/>
    </row>
    <row r="50" spans="1:17" ht="15.75" thickBot="1">
      <c r="A50" s="11" t="s">
        <v>15</v>
      </c>
      <c r="B50" s="2"/>
      <c r="C50" s="2"/>
      <c r="D50" s="2"/>
      <c r="E50" s="2"/>
      <c r="F50" s="2"/>
      <c r="G50" s="12"/>
      <c r="I50" s="22" t="s">
        <v>40</v>
      </c>
      <c r="J50" s="21"/>
      <c r="K50" s="2"/>
      <c r="L50" s="2"/>
      <c r="M50" s="2"/>
      <c r="N50" s="2"/>
      <c r="O50" s="2"/>
      <c r="P50" s="2"/>
      <c r="Q50" s="12"/>
    </row>
    <row r="51" spans="1:17">
      <c r="A51" s="13" t="s">
        <v>16</v>
      </c>
      <c r="B51" s="7" t="s">
        <v>17</v>
      </c>
      <c r="C51" s="7" t="s">
        <v>18</v>
      </c>
      <c r="D51" s="7" t="s">
        <v>19</v>
      </c>
      <c r="E51" s="7" t="s">
        <v>20</v>
      </c>
      <c r="F51" s="2"/>
      <c r="G51" s="12"/>
      <c r="I51" s="14" t="s">
        <v>41</v>
      </c>
      <c r="J51" s="5">
        <v>0.29546112623455212</v>
      </c>
      <c r="K51" s="2"/>
      <c r="L51" s="2"/>
      <c r="M51" s="2"/>
      <c r="N51" s="2"/>
      <c r="O51" s="2"/>
      <c r="P51" s="2"/>
      <c r="Q51" s="12"/>
    </row>
    <row r="52" spans="1:17">
      <c r="A52" s="14" t="s">
        <v>34</v>
      </c>
      <c r="B52" s="5">
        <v>54</v>
      </c>
      <c r="C52" s="5">
        <v>6692.1348000000016</v>
      </c>
      <c r="D52" s="5">
        <v>123.92842222222225</v>
      </c>
      <c r="E52" s="5">
        <v>7.9402706723172605</v>
      </c>
      <c r="F52" s="2"/>
      <c r="G52" s="12"/>
      <c r="I52" s="14" t="s">
        <v>42</v>
      </c>
      <c r="J52" s="5">
        <v>8.729727711578994E-2</v>
      </c>
      <c r="K52" s="2"/>
      <c r="L52" s="2"/>
      <c r="M52" s="2"/>
      <c r="N52" s="2"/>
      <c r="O52" s="2"/>
      <c r="P52" s="2"/>
      <c r="Q52" s="12"/>
    </row>
    <row r="53" spans="1:17" ht="15.75" thickBot="1">
      <c r="A53" s="15" t="s">
        <v>35</v>
      </c>
      <c r="B53" s="6">
        <v>87</v>
      </c>
      <c r="C53" s="6">
        <v>10881.3874</v>
      </c>
      <c r="D53" s="6">
        <v>125.07341839080459</v>
      </c>
      <c r="E53" s="6">
        <v>6.0406812463973667</v>
      </c>
      <c r="F53" s="2"/>
      <c r="G53" s="12"/>
      <c r="I53" s="14" t="s">
        <v>43</v>
      </c>
      <c r="J53" s="5">
        <v>8.0683489268802908E-2</v>
      </c>
      <c r="K53" s="2"/>
      <c r="L53" s="2"/>
      <c r="M53" s="2"/>
      <c r="N53" s="2"/>
      <c r="O53" s="2"/>
      <c r="P53" s="2"/>
      <c r="Q53" s="12"/>
    </row>
    <row r="54" spans="1:17">
      <c r="A54" s="11"/>
      <c r="B54" s="2"/>
      <c r="C54" s="2"/>
      <c r="D54" s="2"/>
      <c r="E54" s="2"/>
      <c r="F54" s="2"/>
      <c r="G54" s="12"/>
      <c r="I54" s="14" t="s">
        <v>44</v>
      </c>
      <c r="J54" s="5">
        <v>2.5461996667017428</v>
      </c>
      <c r="K54" s="2"/>
      <c r="L54" s="2"/>
      <c r="M54" s="2"/>
      <c r="N54" s="2"/>
      <c r="O54" s="2"/>
      <c r="P54" s="2"/>
      <c r="Q54" s="12"/>
    </row>
    <row r="55" spans="1:17" ht="15.75" thickBot="1">
      <c r="A55" s="11"/>
      <c r="B55" s="2"/>
      <c r="C55" s="2"/>
      <c r="D55" s="2"/>
      <c r="E55" s="2"/>
      <c r="F55" s="2"/>
      <c r="G55" s="12"/>
      <c r="I55" s="15" t="s">
        <v>45</v>
      </c>
      <c r="J55" s="6">
        <v>140</v>
      </c>
      <c r="K55" s="2"/>
      <c r="L55" s="2"/>
      <c r="M55" s="2"/>
      <c r="N55" s="2"/>
      <c r="O55" s="2"/>
      <c r="P55" s="2"/>
      <c r="Q55" s="12"/>
    </row>
    <row r="56" spans="1:17" ht="15.75" thickBot="1">
      <c r="A56" s="11" t="s">
        <v>21</v>
      </c>
      <c r="B56" s="2"/>
      <c r="C56" s="2"/>
      <c r="D56" s="2"/>
      <c r="E56" s="2"/>
      <c r="F56" s="2"/>
      <c r="G56" s="12"/>
      <c r="I56" s="11"/>
      <c r="J56" s="2"/>
      <c r="K56" s="2"/>
      <c r="L56" s="2"/>
      <c r="M56" s="2"/>
      <c r="N56" s="2"/>
      <c r="O56" s="2"/>
      <c r="P56" s="2"/>
      <c r="Q56" s="12"/>
    </row>
    <row r="57" spans="1:17" ht="15.75" thickBot="1">
      <c r="A57" s="13" t="s">
        <v>22</v>
      </c>
      <c r="B57" s="7" t="s">
        <v>23</v>
      </c>
      <c r="C57" s="7" t="s">
        <v>24</v>
      </c>
      <c r="D57" s="7" t="s">
        <v>25</v>
      </c>
      <c r="E57" s="7" t="s">
        <v>26</v>
      </c>
      <c r="F57" s="7" t="s">
        <v>27</v>
      </c>
      <c r="G57" s="16" t="s">
        <v>28</v>
      </c>
      <c r="I57" s="11" t="s">
        <v>21</v>
      </c>
      <c r="J57" s="2"/>
      <c r="K57" s="2"/>
      <c r="L57" s="2"/>
      <c r="M57" s="2"/>
      <c r="N57" s="2"/>
      <c r="O57" s="2"/>
      <c r="P57" s="2"/>
      <c r="Q57" s="12"/>
    </row>
    <row r="58" spans="1:17">
      <c r="A58" s="14" t="s">
        <v>29</v>
      </c>
      <c r="B58" s="5">
        <v>43.681944894105868</v>
      </c>
      <c r="C58" s="5">
        <v>1</v>
      </c>
      <c r="D58" s="5">
        <v>43.681944894105868</v>
      </c>
      <c r="E58" s="5">
        <v>6.4570644378545365</v>
      </c>
      <c r="F58" s="5">
        <v>1.214896276894036E-2</v>
      </c>
      <c r="G58" s="17">
        <v>3.9092316356268526</v>
      </c>
      <c r="I58" s="13"/>
      <c r="J58" s="7" t="s">
        <v>24</v>
      </c>
      <c r="K58" s="7" t="s">
        <v>23</v>
      </c>
      <c r="L58" s="7" t="s">
        <v>25</v>
      </c>
      <c r="M58" s="7" t="s">
        <v>26</v>
      </c>
      <c r="N58" s="7" t="s">
        <v>49</v>
      </c>
      <c r="O58" s="2"/>
      <c r="P58" s="2"/>
      <c r="Q58" s="12"/>
    </row>
    <row r="59" spans="1:17">
      <c r="A59" s="14" t="s">
        <v>30</v>
      </c>
      <c r="B59" s="5">
        <v>940.3329328239081</v>
      </c>
      <c r="C59" s="5">
        <v>139</v>
      </c>
      <c r="D59" s="5">
        <v>6.7649851282295543</v>
      </c>
      <c r="E59" s="5"/>
      <c r="F59" s="5"/>
      <c r="G59" s="17"/>
      <c r="I59" s="14" t="s">
        <v>46</v>
      </c>
      <c r="J59" s="5">
        <v>1</v>
      </c>
      <c r="K59" s="5">
        <v>85.5727230314493</v>
      </c>
      <c r="L59" s="5">
        <v>85.5727230314493</v>
      </c>
      <c r="M59" s="5">
        <v>13.199285966748842</v>
      </c>
      <c r="N59" s="5">
        <v>3.9401248742622477E-4</v>
      </c>
      <c r="O59" s="2"/>
      <c r="P59" s="2"/>
      <c r="Q59" s="12"/>
    </row>
    <row r="60" spans="1:17">
      <c r="A60" s="14"/>
      <c r="B60" s="5"/>
      <c r="C60" s="5"/>
      <c r="D60" s="5"/>
      <c r="E60" s="5"/>
      <c r="F60" s="5"/>
      <c r="G60" s="17"/>
      <c r="I60" s="14" t="s">
        <v>47</v>
      </c>
      <c r="J60" s="5">
        <v>138</v>
      </c>
      <c r="K60" s="5">
        <v>894.67231849426503</v>
      </c>
      <c r="L60" s="5">
        <v>6.4831327427120655</v>
      </c>
      <c r="M60" s="5"/>
      <c r="N60" s="5"/>
      <c r="O60" s="2"/>
      <c r="P60" s="2"/>
      <c r="Q60" s="12"/>
    </row>
    <row r="61" spans="1:17" ht="15.75" thickBot="1">
      <c r="A61" s="18" t="s">
        <v>4</v>
      </c>
      <c r="B61" s="19">
        <v>984.01487771801396</v>
      </c>
      <c r="C61" s="19">
        <v>140</v>
      </c>
      <c r="D61" s="19"/>
      <c r="E61" s="19"/>
      <c r="F61" s="19"/>
      <c r="G61" s="20"/>
      <c r="I61" s="15" t="s">
        <v>4</v>
      </c>
      <c r="J61" s="6">
        <v>139</v>
      </c>
      <c r="K61" s="6">
        <v>980.24504152571433</v>
      </c>
      <c r="L61" s="6"/>
      <c r="M61" s="6"/>
      <c r="N61" s="6"/>
      <c r="O61" s="2"/>
      <c r="P61" s="2"/>
      <c r="Q61" s="12"/>
    </row>
    <row r="62" spans="1:17" ht="15.75" thickBot="1">
      <c r="I62" s="11"/>
      <c r="J62" s="2"/>
      <c r="K62" s="2"/>
      <c r="L62" s="2"/>
      <c r="M62" s="2"/>
      <c r="N62" s="2"/>
      <c r="O62" s="2"/>
      <c r="P62" s="2"/>
      <c r="Q62" s="12"/>
    </row>
    <row r="63" spans="1:17">
      <c r="I63" s="13"/>
      <c r="J63" s="7" t="s">
        <v>50</v>
      </c>
      <c r="K63" s="7" t="s">
        <v>44</v>
      </c>
      <c r="L63" s="7" t="s">
        <v>51</v>
      </c>
      <c r="M63" s="7" t="s">
        <v>27</v>
      </c>
      <c r="N63" s="7" t="s">
        <v>52</v>
      </c>
      <c r="O63" s="7" t="s">
        <v>53</v>
      </c>
      <c r="P63" s="7" t="s">
        <v>54</v>
      </c>
      <c r="Q63" s="16" t="s">
        <v>55</v>
      </c>
    </row>
    <row r="64" spans="1:17">
      <c r="I64" s="14" t="s">
        <v>48</v>
      </c>
      <c r="J64" s="5">
        <v>123.48885941124088</v>
      </c>
      <c r="K64" s="5">
        <v>0.38500649796216357</v>
      </c>
      <c r="L64" s="5">
        <v>320.74487070962817</v>
      </c>
      <c r="M64" s="5">
        <v>3.9169342861216745E-200</v>
      </c>
      <c r="N64" s="5">
        <v>122.7275847105473</v>
      </c>
      <c r="O64" s="5">
        <v>124.25013411193446</v>
      </c>
      <c r="P64" s="5">
        <v>122.7275847105473</v>
      </c>
      <c r="Q64" s="17">
        <v>124.25013411193446</v>
      </c>
    </row>
    <row r="65" spans="1:17">
      <c r="I65" s="18">
        <v>8</v>
      </c>
      <c r="J65" s="19">
        <v>0.34622960005603476</v>
      </c>
      <c r="K65" s="19">
        <v>9.5299138582380538E-2</v>
      </c>
      <c r="L65" s="19">
        <v>3.633082157995998</v>
      </c>
      <c r="M65" s="19">
        <v>3.9401248742622477E-4</v>
      </c>
      <c r="N65" s="19">
        <v>0.15779427861429868</v>
      </c>
      <c r="O65" s="19">
        <v>0.53466492149777078</v>
      </c>
      <c r="P65" s="19">
        <v>0.15779427861429868</v>
      </c>
      <c r="Q65" s="20">
        <v>0.53466492149777078</v>
      </c>
    </row>
    <row r="67" spans="1:17">
      <c r="A67" s="8" t="s">
        <v>57</v>
      </c>
      <c r="B67" s="9"/>
      <c r="C67" s="9"/>
      <c r="D67" s="9"/>
      <c r="E67" s="9"/>
      <c r="F67" s="9"/>
      <c r="G67" s="9"/>
      <c r="H67" s="9"/>
      <c r="I67" s="10"/>
    </row>
    <row r="68" spans="1:17" ht="15.75" thickBot="1">
      <c r="A68" s="11"/>
      <c r="B68" s="2"/>
      <c r="C68" s="2"/>
      <c r="D68" s="2"/>
      <c r="E68" s="2"/>
      <c r="F68" s="2"/>
      <c r="G68" s="2"/>
      <c r="H68" s="2"/>
      <c r="I68" s="12"/>
    </row>
    <row r="69" spans="1:17">
      <c r="A69" s="22" t="s">
        <v>40</v>
      </c>
      <c r="B69" s="21"/>
      <c r="C69" s="2"/>
      <c r="D69" s="2"/>
      <c r="E69" s="2"/>
      <c r="F69" s="2"/>
      <c r="G69" s="2"/>
      <c r="H69" s="2"/>
      <c r="I69" s="12"/>
    </row>
    <row r="70" spans="1:17">
      <c r="A70" s="14" t="s">
        <v>41</v>
      </c>
      <c r="B70" s="5">
        <v>5.1750400404599037E-2</v>
      </c>
      <c r="C70" s="2"/>
      <c r="D70" s="2"/>
      <c r="E70" s="2"/>
      <c r="F70" s="2"/>
      <c r="G70" s="2"/>
      <c r="H70" s="2"/>
      <c r="I70" s="12"/>
    </row>
    <row r="71" spans="1:17">
      <c r="A71" s="14" t="s">
        <v>42</v>
      </c>
      <c r="B71" s="5">
        <v>2.6781039420363242E-3</v>
      </c>
      <c r="C71" s="2"/>
      <c r="D71" s="2"/>
      <c r="E71" s="2"/>
      <c r="F71" s="2"/>
      <c r="G71" s="2"/>
      <c r="H71" s="2"/>
      <c r="I71" s="12"/>
    </row>
    <row r="72" spans="1:17">
      <c r="A72" s="14" t="s">
        <v>43</v>
      </c>
      <c r="B72" s="5">
        <v>-4.5488663192532683E-3</v>
      </c>
      <c r="C72" s="2"/>
      <c r="D72" s="2"/>
      <c r="E72" s="2"/>
      <c r="F72" s="2"/>
      <c r="G72" s="2"/>
      <c r="H72" s="2"/>
      <c r="I72" s="12"/>
    </row>
    <row r="73" spans="1:17">
      <c r="A73" s="14" t="s">
        <v>44</v>
      </c>
      <c r="B73" s="5">
        <v>2.6616163818031553</v>
      </c>
      <c r="C73" s="2"/>
      <c r="D73" s="2"/>
      <c r="E73" s="2"/>
      <c r="F73" s="2"/>
      <c r="G73" s="2"/>
      <c r="H73" s="2"/>
      <c r="I73" s="12"/>
    </row>
    <row r="74" spans="1:17" ht="15.75" thickBot="1">
      <c r="A74" s="15" t="s">
        <v>45</v>
      </c>
      <c r="B74" s="6">
        <v>140</v>
      </c>
      <c r="C74" s="2"/>
      <c r="D74" s="2"/>
      <c r="E74" s="2"/>
      <c r="F74" s="2"/>
      <c r="G74" s="2"/>
      <c r="H74" s="2"/>
      <c r="I74" s="12"/>
    </row>
    <row r="75" spans="1:17">
      <c r="A75" s="11"/>
      <c r="B75" s="2"/>
      <c r="C75" s="2"/>
      <c r="D75" s="2"/>
      <c r="E75" s="2"/>
      <c r="F75" s="2"/>
      <c r="G75" s="2"/>
      <c r="H75" s="2"/>
      <c r="I75" s="12"/>
    </row>
    <row r="76" spans="1:17" ht="15.75" thickBot="1">
      <c r="A76" s="11" t="s">
        <v>21</v>
      </c>
      <c r="B76" s="2"/>
      <c r="C76" s="2"/>
      <c r="D76" s="2"/>
      <c r="E76" s="2"/>
      <c r="F76" s="2"/>
      <c r="G76" s="2"/>
      <c r="H76" s="2"/>
      <c r="I76" s="12"/>
    </row>
    <row r="77" spans="1:17">
      <c r="A77" s="13"/>
      <c r="B77" s="7" t="s">
        <v>24</v>
      </c>
      <c r="C77" s="7" t="s">
        <v>23</v>
      </c>
      <c r="D77" s="7" t="s">
        <v>25</v>
      </c>
      <c r="E77" s="7" t="s">
        <v>26</v>
      </c>
      <c r="F77" s="7" t="s">
        <v>49</v>
      </c>
      <c r="G77" s="2"/>
      <c r="H77" s="2"/>
      <c r="I77" s="12"/>
    </row>
    <row r="78" spans="1:17">
      <c r="A78" s="14" t="s">
        <v>46</v>
      </c>
      <c r="B78" s="5">
        <v>1</v>
      </c>
      <c r="C78" s="5">
        <v>2.625198109871576</v>
      </c>
      <c r="D78" s="5">
        <v>2.625198109871576</v>
      </c>
      <c r="E78" s="5">
        <v>0.37057077104374841</v>
      </c>
      <c r="F78" s="5">
        <v>0.54369406210286519</v>
      </c>
      <c r="G78" s="2"/>
      <c r="H78" s="2"/>
      <c r="I78" s="12"/>
    </row>
    <row r="79" spans="1:17">
      <c r="A79" s="14" t="s">
        <v>47</v>
      </c>
      <c r="B79" s="5">
        <v>138</v>
      </c>
      <c r="C79" s="5">
        <v>977.61984341584275</v>
      </c>
      <c r="D79" s="5">
        <v>7.0842017638829189</v>
      </c>
      <c r="E79" s="5"/>
      <c r="F79" s="5"/>
      <c r="G79" s="2"/>
      <c r="H79" s="2"/>
      <c r="I79" s="12"/>
    </row>
    <row r="80" spans="1:17" ht="15.75" thickBot="1">
      <c r="A80" s="15" t="s">
        <v>4</v>
      </c>
      <c r="B80" s="6">
        <v>139</v>
      </c>
      <c r="C80" s="6">
        <v>980.24504152571433</v>
      </c>
      <c r="D80" s="6"/>
      <c r="E80" s="6"/>
      <c r="F80" s="6"/>
      <c r="G80" s="2"/>
      <c r="H80" s="2"/>
      <c r="I80" s="12"/>
    </row>
    <row r="81" spans="1:20" ht="15.75" thickBot="1">
      <c r="A81" s="11"/>
      <c r="B81" s="2"/>
      <c r="C81" s="2"/>
      <c r="D81" s="2"/>
      <c r="E81" s="2"/>
      <c r="F81" s="2"/>
      <c r="G81" s="2"/>
      <c r="H81" s="2"/>
      <c r="I81" s="12"/>
    </row>
    <row r="82" spans="1:20">
      <c r="A82" s="13"/>
      <c r="B82" s="7" t="s">
        <v>50</v>
      </c>
      <c r="C82" s="7" t="s">
        <v>44</v>
      </c>
      <c r="D82" s="7" t="s">
        <v>51</v>
      </c>
      <c r="E82" s="7" t="s">
        <v>27</v>
      </c>
      <c r="F82" s="7" t="s">
        <v>52</v>
      </c>
      <c r="G82" s="7" t="s">
        <v>53</v>
      </c>
      <c r="H82" s="7" t="s">
        <v>54</v>
      </c>
      <c r="I82" s="16" t="s">
        <v>55</v>
      </c>
    </row>
    <row r="83" spans="1:20">
      <c r="A83" s="14" t="s">
        <v>48</v>
      </c>
      <c r="B83" s="5">
        <v>125.51797798303497</v>
      </c>
      <c r="C83" s="5">
        <v>1.4455460667606717</v>
      </c>
      <c r="D83" s="5">
        <v>86.830839133552189</v>
      </c>
      <c r="E83" s="5">
        <v>2.5480930783746264E-122</v>
      </c>
      <c r="F83" s="5">
        <v>122.65969466798256</v>
      </c>
      <c r="G83" s="5">
        <v>128.37626129808737</v>
      </c>
      <c r="H83" s="5">
        <v>122.65969466798256</v>
      </c>
      <c r="I83" s="17">
        <v>128.37626129808737</v>
      </c>
    </row>
    <row r="84" spans="1:20">
      <c r="A84" s="18">
        <v>1.0690200000000001</v>
      </c>
      <c r="B84" s="19">
        <v>-0.86885894639587158</v>
      </c>
      <c r="C84" s="19">
        <v>1.4272948432685444</v>
      </c>
      <c r="D84" s="19">
        <v>-0.60874524313852396</v>
      </c>
      <c r="E84" s="19">
        <v>0.54369406210284721</v>
      </c>
      <c r="F84" s="19">
        <v>-3.6910540531328175</v>
      </c>
      <c r="G84" s="19">
        <v>1.9533361603410746</v>
      </c>
      <c r="H84" s="19">
        <v>-3.6910540531328175</v>
      </c>
      <c r="I84" s="20">
        <v>1.9533361603410746</v>
      </c>
    </row>
    <row r="85" spans="1:20">
      <c r="L85" s="8" t="s">
        <v>59</v>
      </c>
      <c r="M85" s="9"/>
      <c r="N85" s="9"/>
      <c r="O85" s="9"/>
      <c r="P85" s="9"/>
      <c r="Q85" s="9"/>
      <c r="R85" s="9"/>
      <c r="S85" s="9"/>
      <c r="T85" s="10"/>
    </row>
    <row r="86" spans="1:20" ht="15.75" thickBot="1">
      <c r="A86" s="8" t="s">
        <v>58</v>
      </c>
      <c r="B86" s="9"/>
      <c r="C86" s="9"/>
      <c r="D86" s="9"/>
      <c r="E86" s="9"/>
      <c r="F86" s="9"/>
      <c r="G86" s="9"/>
      <c r="H86" s="9"/>
      <c r="I86" s="10"/>
      <c r="L86" s="11"/>
      <c r="M86" s="2"/>
      <c r="N86" s="2"/>
      <c r="O86" s="2"/>
      <c r="P86" s="2"/>
      <c r="Q86" s="2"/>
      <c r="R86" s="2"/>
      <c r="S86" s="2"/>
      <c r="T86" s="12"/>
    </row>
    <row r="87" spans="1:20" ht="15.75" thickBot="1">
      <c r="A87" s="11"/>
      <c r="B87" s="2"/>
      <c r="C87" s="2"/>
      <c r="D87" s="2"/>
      <c r="E87" s="2"/>
      <c r="F87" s="2"/>
      <c r="G87" s="2"/>
      <c r="H87" s="2"/>
      <c r="I87" s="12"/>
      <c r="L87" s="22" t="s">
        <v>40</v>
      </c>
      <c r="M87" s="21"/>
      <c r="N87" s="2"/>
      <c r="O87" s="2"/>
      <c r="P87" s="2"/>
      <c r="Q87" s="2"/>
      <c r="R87" s="2"/>
      <c r="S87" s="2"/>
      <c r="T87" s="12"/>
    </row>
    <row r="88" spans="1:20">
      <c r="A88" s="22" t="s">
        <v>40</v>
      </c>
      <c r="B88" s="21"/>
      <c r="C88" s="2"/>
      <c r="D88" s="2"/>
      <c r="E88" s="2"/>
      <c r="F88" s="2"/>
      <c r="G88" s="2"/>
      <c r="H88" s="2"/>
      <c r="I88" s="12"/>
      <c r="L88" s="14" t="s">
        <v>41</v>
      </c>
      <c r="M88" s="5">
        <v>6.9755793908922586E-2</v>
      </c>
      <c r="N88" s="2"/>
      <c r="O88" s="2"/>
      <c r="P88" s="2"/>
      <c r="Q88" s="2"/>
      <c r="R88" s="2"/>
      <c r="S88" s="2"/>
      <c r="T88" s="12"/>
    </row>
    <row r="89" spans="1:20">
      <c r="A89" s="14" t="s">
        <v>41</v>
      </c>
      <c r="B89" s="5">
        <v>5.5011203380049513E-3</v>
      </c>
      <c r="C89" s="2"/>
      <c r="D89" s="2"/>
      <c r="E89" s="2"/>
      <c r="F89" s="2"/>
      <c r="G89" s="2"/>
      <c r="H89" s="2"/>
      <c r="I89" s="12"/>
      <c r="L89" s="14" t="s">
        <v>42</v>
      </c>
      <c r="M89" s="5">
        <v>4.8658707838640817E-3</v>
      </c>
      <c r="N89" s="2"/>
      <c r="O89" s="2"/>
      <c r="P89" s="2"/>
      <c r="Q89" s="2"/>
      <c r="R89" s="2"/>
      <c r="S89" s="2"/>
      <c r="T89" s="12"/>
    </row>
    <row r="90" spans="1:20">
      <c r="A90" s="14" t="s">
        <v>42</v>
      </c>
      <c r="B90" s="5">
        <v>3.0262324973211707E-5</v>
      </c>
      <c r="C90" s="2"/>
      <c r="D90" s="2"/>
      <c r="E90" s="2"/>
      <c r="F90" s="2"/>
      <c r="G90" s="2"/>
      <c r="H90" s="2"/>
      <c r="I90" s="12"/>
      <c r="L90" s="14" t="s">
        <v>43</v>
      </c>
      <c r="M90" s="5">
        <v>-2.3452460945137146E-3</v>
      </c>
      <c r="N90" s="2"/>
      <c r="O90" s="2"/>
      <c r="P90" s="2"/>
      <c r="Q90" s="2"/>
      <c r="R90" s="2"/>
      <c r="S90" s="2"/>
      <c r="T90" s="12"/>
    </row>
    <row r="91" spans="1:20">
      <c r="A91" s="14" t="s">
        <v>43</v>
      </c>
      <c r="B91" s="5">
        <v>-7.215895194411041E-3</v>
      </c>
      <c r="C91" s="2"/>
      <c r="D91" s="2"/>
      <c r="E91" s="2"/>
      <c r="F91" s="2"/>
      <c r="G91" s="2"/>
      <c r="H91" s="2"/>
      <c r="I91" s="12"/>
      <c r="L91" s="14" t="s">
        <v>44</v>
      </c>
      <c r="M91" s="5">
        <v>2.6586954627960351</v>
      </c>
      <c r="N91" s="2"/>
      <c r="O91" s="2"/>
      <c r="P91" s="2"/>
      <c r="Q91" s="2"/>
      <c r="R91" s="2"/>
      <c r="S91" s="2"/>
      <c r="T91" s="12"/>
    </row>
    <row r="92" spans="1:20" ht="15.75" thickBot="1">
      <c r="A92" s="14" t="s">
        <v>44</v>
      </c>
      <c r="B92" s="5">
        <v>2.6651472714449915</v>
      </c>
      <c r="C92" s="2"/>
      <c r="D92" s="2"/>
      <c r="E92" s="2"/>
      <c r="F92" s="2"/>
      <c r="G92" s="2"/>
      <c r="H92" s="2"/>
      <c r="I92" s="12"/>
      <c r="L92" s="15" t="s">
        <v>45</v>
      </c>
      <c r="M92" s="6">
        <v>140</v>
      </c>
      <c r="N92" s="2"/>
      <c r="O92" s="2"/>
      <c r="P92" s="2"/>
      <c r="Q92" s="2"/>
      <c r="R92" s="2"/>
      <c r="S92" s="2"/>
      <c r="T92" s="12"/>
    </row>
    <row r="93" spans="1:20" ht="15.75" thickBot="1">
      <c r="A93" s="15" t="s">
        <v>45</v>
      </c>
      <c r="B93" s="6">
        <v>140</v>
      </c>
      <c r="C93" s="2"/>
      <c r="D93" s="2"/>
      <c r="E93" s="2"/>
      <c r="F93" s="2"/>
      <c r="G93" s="2"/>
      <c r="H93" s="2"/>
      <c r="I93" s="12"/>
      <c r="L93" s="11"/>
      <c r="M93" s="2"/>
      <c r="N93" s="2"/>
      <c r="O93" s="2"/>
      <c r="P93" s="2"/>
      <c r="Q93" s="2"/>
      <c r="R93" s="2"/>
      <c r="S93" s="2"/>
      <c r="T93" s="12"/>
    </row>
    <row r="94" spans="1:20" ht="15.75" thickBot="1">
      <c r="A94" s="11"/>
      <c r="B94" s="2"/>
      <c r="C94" s="2"/>
      <c r="D94" s="2"/>
      <c r="E94" s="2"/>
      <c r="F94" s="2"/>
      <c r="G94" s="2"/>
      <c r="H94" s="2"/>
      <c r="I94" s="12"/>
      <c r="L94" s="11" t="s">
        <v>21</v>
      </c>
      <c r="M94" s="2"/>
      <c r="N94" s="2"/>
      <c r="O94" s="2"/>
      <c r="P94" s="2"/>
      <c r="Q94" s="2"/>
      <c r="R94" s="2"/>
      <c r="S94" s="2"/>
      <c r="T94" s="12"/>
    </row>
    <row r="95" spans="1:20" ht="15.75" thickBot="1">
      <c r="A95" s="11" t="s">
        <v>21</v>
      </c>
      <c r="B95" s="2"/>
      <c r="C95" s="2"/>
      <c r="D95" s="2"/>
      <c r="E95" s="2"/>
      <c r="F95" s="2"/>
      <c r="G95" s="2"/>
      <c r="H95" s="2"/>
      <c r="I95" s="12"/>
      <c r="L95" s="13"/>
      <c r="M95" s="7" t="s">
        <v>24</v>
      </c>
      <c r="N95" s="7" t="s">
        <v>23</v>
      </c>
      <c r="O95" s="7" t="s">
        <v>25</v>
      </c>
      <c r="P95" s="7" t="s">
        <v>26</v>
      </c>
      <c r="Q95" s="7" t="s">
        <v>49</v>
      </c>
      <c r="R95" s="2"/>
      <c r="S95" s="2"/>
      <c r="T95" s="12"/>
    </row>
    <row r="96" spans="1:20">
      <c r="A96" s="13"/>
      <c r="B96" s="7" t="s">
        <v>24</v>
      </c>
      <c r="C96" s="7" t="s">
        <v>23</v>
      </c>
      <c r="D96" s="7" t="s">
        <v>25</v>
      </c>
      <c r="E96" s="7" t="s">
        <v>26</v>
      </c>
      <c r="F96" s="7" t="s">
        <v>49</v>
      </c>
      <c r="G96" s="2"/>
      <c r="H96" s="2"/>
      <c r="I96" s="12"/>
      <c r="L96" s="14" t="s">
        <v>46</v>
      </c>
      <c r="M96" s="5">
        <v>1</v>
      </c>
      <c r="N96" s="5">
        <v>4.7697457085876067</v>
      </c>
      <c r="O96" s="5">
        <v>4.7697457085876067</v>
      </c>
      <c r="P96" s="5">
        <v>0.67477352897360077</v>
      </c>
      <c r="Q96" s="5">
        <v>0.41280914873642716</v>
      </c>
      <c r="R96" s="2"/>
      <c r="S96" s="2"/>
      <c r="T96" s="12"/>
    </row>
    <row r="97" spans="1:20">
      <c r="A97" s="14" t="s">
        <v>46</v>
      </c>
      <c r="B97" s="5">
        <v>1</v>
      </c>
      <c r="C97" s="5">
        <v>2.9664494000030572E-2</v>
      </c>
      <c r="D97" s="5">
        <v>2.9664494000030572E-2</v>
      </c>
      <c r="E97" s="5">
        <v>4.1763272316750954E-3</v>
      </c>
      <c r="F97" s="5">
        <v>0.94856648942395172</v>
      </c>
      <c r="G97" s="2"/>
      <c r="H97" s="2"/>
      <c r="I97" s="12"/>
      <c r="L97" s="14" t="s">
        <v>47</v>
      </c>
      <c r="M97" s="5">
        <v>138</v>
      </c>
      <c r="N97" s="5">
        <v>975.47529581712672</v>
      </c>
      <c r="O97" s="5">
        <v>7.0686615638922223</v>
      </c>
      <c r="P97" s="5"/>
      <c r="Q97" s="5"/>
      <c r="R97" s="2"/>
      <c r="S97" s="2"/>
      <c r="T97" s="12"/>
    </row>
    <row r="98" spans="1:20" ht="15.75" thickBot="1">
      <c r="A98" s="14" t="s">
        <v>47</v>
      </c>
      <c r="B98" s="5">
        <v>138</v>
      </c>
      <c r="C98" s="5">
        <v>980.2153770317143</v>
      </c>
      <c r="D98" s="5">
        <v>7.1030099784906833</v>
      </c>
      <c r="E98" s="5"/>
      <c r="F98" s="5"/>
      <c r="G98" s="2"/>
      <c r="H98" s="2"/>
      <c r="I98" s="12"/>
      <c r="L98" s="15" t="s">
        <v>4</v>
      </c>
      <c r="M98" s="6">
        <v>139</v>
      </c>
      <c r="N98" s="6">
        <v>980.24504152571433</v>
      </c>
      <c r="O98" s="6"/>
      <c r="P98" s="6"/>
      <c r="Q98" s="6"/>
      <c r="R98" s="2"/>
      <c r="S98" s="2"/>
      <c r="T98" s="12"/>
    </row>
    <row r="99" spans="1:20" ht="15.75" thickBot="1">
      <c r="A99" s="15" t="s">
        <v>4</v>
      </c>
      <c r="B99" s="6">
        <v>139</v>
      </c>
      <c r="C99" s="6">
        <v>980.24504152571433</v>
      </c>
      <c r="D99" s="6"/>
      <c r="E99" s="6"/>
      <c r="F99" s="6"/>
      <c r="G99" s="2"/>
      <c r="H99" s="2"/>
      <c r="I99" s="12"/>
      <c r="L99" s="11"/>
      <c r="M99" s="2"/>
      <c r="N99" s="2"/>
      <c r="O99" s="2"/>
      <c r="P99" s="2"/>
      <c r="Q99" s="2"/>
      <c r="R99" s="2"/>
      <c r="S99" s="2"/>
      <c r="T99" s="12"/>
    </row>
    <row r="100" spans="1:20" ht="15.75" thickBot="1">
      <c r="A100" s="11"/>
      <c r="B100" s="2"/>
      <c r="C100" s="2"/>
      <c r="D100" s="2"/>
      <c r="E100" s="2"/>
      <c r="F100" s="2"/>
      <c r="G100" s="2"/>
      <c r="H100" s="2"/>
      <c r="I100" s="12"/>
      <c r="L100" s="13"/>
      <c r="M100" s="7" t="s">
        <v>50</v>
      </c>
      <c r="N100" s="7" t="s">
        <v>44</v>
      </c>
      <c r="O100" s="7" t="s">
        <v>51</v>
      </c>
      <c r="P100" s="7" t="s">
        <v>27</v>
      </c>
      <c r="Q100" s="7" t="s">
        <v>52</v>
      </c>
      <c r="R100" s="7" t="s">
        <v>53</v>
      </c>
      <c r="S100" s="7" t="s">
        <v>54</v>
      </c>
      <c r="T100" s="16" t="s">
        <v>55</v>
      </c>
    </row>
    <row r="101" spans="1:20">
      <c r="A101" s="13"/>
      <c r="B101" s="7" t="s">
        <v>50</v>
      </c>
      <c r="C101" s="7" t="s">
        <v>44</v>
      </c>
      <c r="D101" s="7" t="s">
        <v>51</v>
      </c>
      <c r="E101" s="7" t="s">
        <v>27</v>
      </c>
      <c r="F101" s="7" t="s">
        <v>52</v>
      </c>
      <c r="G101" s="7" t="s">
        <v>53</v>
      </c>
      <c r="H101" s="7" t="s">
        <v>54</v>
      </c>
      <c r="I101" s="16" t="s">
        <v>55</v>
      </c>
      <c r="L101" s="14" t="s">
        <v>48</v>
      </c>
      <c r="M101" s="5">
        <v>124.6501812034189</v>
      </c>
      <c r="N101" s="5">
        <v>0.22470773668074759</v>
      </c>
      <c r="O101" s="5">
        <v>554.7213595965992</v>
      </c>
      <c r="P101" s="5">
        <v>6.1262707706644777E-233</v>
      </c>
      <c r="Q101" s="5">
        <v>124.20586580643051</v>
      </c>
      <c r="R101" s="5">
        <v>125.09449660040728</v>
      </c>
      <c r="S101" s="5">
        <v>124.20586580643051</v>
      </c>
      <c r="T101" s="17">
        <v>125.09449660040728</v>
      </c>
    </row>
    <row r="102" spans="1:20">
      <c r="A102" s="14" t="s">
        <v>48</v>
      </c>
      <c r="B102" s="5">
        <v>124.48914808255483</v>
      </c>
      <c r="C102" s="5">
        <v>2.4796011506777771</v>
      </c>
      <c r="D102" s="5">
        <v>50.205311466534376</v>
      </c>
      <c r="E102" s="5">
        <v>1.5614196005123875E-90</v>
      </c>
      <c r="F102" s="5">
        <v>119.58622401812208</v>
      </c>
      <c r="G102" s="5">
        <v>129.3920721469876</v>
      </c>
      <c r="H102" s="5">
        <v>119.58622401812208</v>
      </c>
      <c r="I102" s="17">
        <v>129.3920721469876</v>
      </c>
      <c r="L102" s="18">
        <v>3</v>
      </c>
      <c r="M102" s="19">
        <v>-3.3894746440393392E-2</v>
      </c>
      <c r="N102" s="19">
        <v>4.1262294160757801E-2</v>
      </c>
      <c r="O102" s="19">
        <v>-0.82144599881769875</v>
      </c>
      <c r="P102" s="19">
        <v>0.41280914873642061</v>
      </c>
      <c r="Q102" s="19">
        <v>-0.11548282561158754</v>
      </c>
      <c r="R102" s="19">
        <v>4.7693332730800758E-2</v>
      </c>
      <c r="S102" s="19">
        <v>-0.11548282561158754</v>
      </c>
      <c r="T102" s="20">
        <v>4.7693332730800758E-2</v>
      </c>
    </row>
    <row r="103" spans="1:20">
      <c r="A103" s="18">
        <v>1281</v>
      </c>
      <c r="B103" s="19">
        <v>1.5053342974602309E-4</v>
      </c>
      <c r="C103" s="19">
        <v>2.3293550828987269E-3</v>
      </c>
      <c r="D103" s="19">
        <v>6.4624509526771803E-2</v>
      </c>
      <c r="E103" s="19">
        <v>0.94856648942461141</v>
      </c>
      <c r="F103" s="19">
        <v>-4.4553085571522287E-3</v>
      </c>
      <c r="G103" s="19">
        <v>4.7563754166442748E-3</v>
      </c>
      <c r="H103" s="19">
        <v>-4.4553085571522287E-3</v>
      </c>
      <c r="I103" s="20">
        <v>4.7563754166442748E-3</v>
      </c>
    </row>
    <row r="105" spans="1:20">
      <c r="A105" s="8" t="s">
        <v>60</v>
      </c>
      <c r="B105" s="9"/>
      <c r="C105" s="9"/>
      <c r="D105" s="9"/>
      <c r="E105" s="9"/>
      <c r="F105" s="9"/>
      <c r="G105" s="9"/>
      <c r="H105" s="9"/>
      <c r="I105" s="10"/>
      <c r="K105" s="8" t="s">
        <v>61</v>
      </c>
      <c r="L105" s="9"/>
      <c r="M105" s="9"/>
      <c r="N105" s="9"/>
      <c r="O105" s="9"/>
      <c r="P105" s="9"/>
      <c r="Q105" s="9"/>
      <c r="R105" s="9"/>
      <c r="S105" s="10"/>
    </row>
    <row r="106" spans="1:20" ht="15.75" thickBot="1">
      <c r="A106" s="11"/>
      <c r="B106" s="2"/>
      <c r="C106" s="2"/>
      <c r="D106" s="2"/>
      <c r="E106" s="2"/>
      <c r="F106" s="2"/>
      <c r="G106" s="2"/>
      <c r="H106" s="2"/>
      <c r="I106" s="12"/>
      <c r="K106" s="11"/>
      <c r="L106" s="2"/>
      <c r="M106" s="2"/>
      <c r="N106" s="2"/>
      <c r="O106" s="2"/>
      <c r="P106" s="2"/>
      <c r="Q106" s="2"/>
      <c r="R106" s="2"/>
      <c r="S106" s="12"/>
    </row>
    <row r="107" spans="1:20">
      <c r="A107" s="22" t="s">
        <v>40</v>
      </c>
      <c r="B107" s="21"/>
      <c r="C107" s="2"/>
      <c r="D107" s="2"/>
      <c r="E107" s="2"/>
      <c r="F107" s="2"/>
      <c r="G107" s="2"/>
      <c r="H107" s="2"/>
      <c r="I107" s="12"/>
      <c r="K107" s="22" t="s">
        <v>40</v>
      </c>
      <c r="L107" s="21"/>
      <c r="M107" s="2"/>
      <c r="N107" s="2"/>
      <c r="O107" s="2"/>
      <c r="P107" s="2"/>
      <c r="Q107" s="2"/>
      <c r="R107" s="2"/>
      <c r="S107" s="12"/>
    </row>
    <row r="108" spans="1:20">
      <c r="A108" s="14" t="s">
        <v>41</v>
      </c>
      <c r="B108" s="5">
        <v>4.8899971183373532E-2</v>
      </c>
      <c r="C108" s="2"/>
      <c r="D108" s="2"/>
      <c r="E108" s="2"/>
      <c r="F108" s="2"/>
      <c r="G108" s="2"/>
      <c r="H108" s="2"/>
      <c r="I108" s="12"/>
      <c r="K108" s="14" t="s">
        <v>41</v>
      </c>
      <c r="L108" s="5">
        <v>1.8453005113725968E-2</v>
      </c>
      <c r="M108" s="2"/>
      <c r="N108" s="2"/>
      <c r="O108" s="2"/>
      <c r="P108" s="2"/>
      <c r="Q108" s="2"/>
      <c r="R108" s="2"/>
      <c r="S108" s="12"/>
    </row>
    <row r="109" spans="1:20">
      <c r="A109" s="14" t="s">
        <v>42</v>
      </c>
      <c r="B109" s="5">
        <v>2.3912071817347616E-3</v>
      </c>
      <c r="C109" s="2"/>
      <c r="D109" s="2"/>
      <c r="E109" s="2"/>
      <c r="F109" s="2"/>
      <c r="G109" s="2"/>
      <c r="H109" s="2"/>
      <c r="I109" s="12"/>
      <c r="K109" s="14" t="s">
        <v>42</v>
      </c>
      <c r="L109" s="5">
        <v>3.4051339772719674E-4</v>
      </c>
      <c r="M109" s="2"/>
      <c r="N109" s="2"/>
      <c r="O109" s="2"/>
      <c r="P109" s="2"/>
      <c r="Q109" s="2"/>
      <c r="R109" s="2"/>
      <c r="S109" s="12"/>
    </row>
    <row r="110" spans="1:20">
      <c r="A110" s="14" t="s">
        <v>43</v>
      </c>
      <c r="B110" s="5">
        <v>-4.8378420415860013E-3</v>
      </c>
      <c r="C110" s="2"/>
      <c r="D110" s="2"/>
      <c r="E110" s="2"/>
      <c r="F110" s="2"/>
      <c r="G110" s="2"/>
      <c r="H110" s="2"/>
      <c r="I110" s="12"/>
      <c r="K110" s="14" t="s">
        <v>43</v>
      </c>
      <c r="L110" s="5">
        <v>-6.9033959254776785E-3</v>
      </c>
      <c r="M110" s="2"/>
      <c r="N110" s="2"/>
      <c r="O110" s="2"/>
      <c r="P110" s="2"/>
      <c r="Q110" s="2"/>
      <c r="R110" s="2"/>
      <c r="S110" s="12"/>
    </row>
    <row r="111" spans="1:20">
      <c r="A111" s="14" t="s">
        <v>44</v>
      </c>
      <c r="B111" s="5">
        <v>0.15855223016913858</v>
      </c>
      <c r="C111" s="2"/>
      <c r="D111" s="2"/>
      <c r="E111" s="2"/>
      <c r="F111" s="2"/>
      <c r="G111" s="2"/>
      <c r="H111" s="2"/>
      <c r="I111" s="12"/>
      <c r="K111" s="14" t="s">
        <v>44</v>
      </c>
      <c r="L111" s="5">
        <v>97.380504095517793</v>
      </c>
      <c r="M111" s="2"/>
      <c r="N111" s="2"/>
      <c r="O111" s="2"/>
      <c r="P111" s="2"/>
      <c r="Q111" s="2"/>
      <c r="R111" s="2"/>
      <c r="S111" s="12"/>
    </row>
    <row r="112" spans="1:20" ht="15.75" thickBot="1">
      <c r="A112" s="15" t="s">
        <v>45</v>
      </c>
      <c r="B112" s="6">
        <v>140</v>
      </c>
      <c r="C112" s="2"/>
      <c r="D112" s="2"/>
      <c r="E112" s="2"/>
      <c r="F112" s="2"/>
      <c r="G112" s="2"/>
      <c r="H112" s="2"/>
      <c r="I112" s="12"/>
      <c r="K112" s="15" t="s">
        <v>45</v>
      </c>
      <c r="L112" s="6">
        <v>140</v>
      </c>
      <c r="M112" s="2"/>
      <c r="N112" s="2"/>
      <c r="O112" s="2"/>
      <c r="P112" s="2"/>
      <c r="Q112" s="2"/>
      <c r="R112" s="2"/>
      <c r="S112" s="12"/>
    </row>
    <row r="113" spans="1:19">
      <c r="A113" s="11"/>
      <c r="B113" s="2"/>
      <c r="C113" s="2"/>
      <c r="D113" s="2"/>
      <c r="E113" s="2"/>
      <c r="F113" s="2"/>
      <c r="G113" s="2"/>
      <c r="H113" s="2"/>
      <c r="I113" s="12"/>
      <c r="K113" s="11"/>
      <c r="L113" s="2"/>
      <c r="M113" s="2"/>
      <c r="N113" s="2"/>
      <c r="O113" s="2"/>
      <c r="P113" s="2"/>
      <c r="Q113" s="2"/>
      <c r="R113" s="2"/>
      <c r="S113" s="12"/>
    </row>
    <row r="114" spans="1:19" ht="15.75" thickBot="1">
      <c r="A114" s="11" t="s">
        <v>21</v>
      </c>
      <c r="B114" s="2"/>
      <c r="C114" s="2"/>
      <c r="D114" s="2"/>
      <c r="E114" s="2"/>
      <c r="F114" s="2"/>
      <c r="G114" s="2"/>
      <c r="H114" s="2"/>
      <c r="I114" s="12"/>
      <c r="K114" s="11" t="s">
        <v>21</v>
      </c>
      <c r="L114" s="2"/>
      <c r="M114" s="2"/>
      <c r="N114" s="2"/>
      <c r="O114" s="2"/>
      <c r="P114" s="2"/>
      <c r="Q114" s="2"/>
      <c r="R114" s="2"/>
      <c r="S114" s="12"/>
    </row>
    <row r="115" spans="1:19">
      <c r="A115" s="13"/>
      <c r="B115" s="7" t="s">
        <v>24</v>
      </c>
      <c r="C115" s="7" t="s">
        <v>23</v>
      </c>
      <c r="D115" s="7" t="s">
        <v>25</v>
      </c>
      <c r="E115" s="7" t="s">
        <v>26</v>
      </c>
      <c r="F115" s="7" t="s">
        <v>49</v>
      </c>
      <c r="G115" s="2"/>
      <c r="H115" s="2"/>
      <c r="I115" s="12"/>
      <c r="K115" s="13"/>
      <c r="L115" s="7" t="s">
        <v>24</v>
      </c>
      <c r="M115" s="7" t="s">
        <v>23</v>
      </c>
      <c r="N115" s="7" t="s">
        <v>25</v>
      </c>
      <c r="O115" s="7" t="s">
        <v>26</v>
      </c>
      <c r="P115" s="7" t="s">
        <v>49</v>
      </c>
      <c r="Q115" s="2"/>
      <c r="R115" s="2"/>
      <c r="S115" s="12"/>
    </row>
    <row r="116" spans="1:19">
      <c r="A116" s="14" t="s">
        <v>46</v>
      </c>
      <c r="B116" s="5">
        <v>1</v>
      </c>
      <c r="C116" s="5">
        <v>8.3153538477667155E-3</v>
      </c>
      <c r="D116" s="5">
        <v>8.3153538477667155E-3</v>
      </c>
      <c r="E116" s="5">
        <v>0.33077754872947568</v>
      </c>
      <c r="F116" s="5">
        <v>0.56613812543322195</v>
      </c>
      <c r="G116" s="2"/>
      <c r="H116" s="2"/>
      <c r="I116" s="12"/>
      <c r="K116" s="14" t="s">
        <v>46</v>
      </c>
      <c r="L116" s="5">
        <v>1</v>
      </c>
      <c r="M116" s="5">
        <v>445.76425019232556</v>
      </c>
      <c r="N116" s="5">
        <v>445.76425019232556</v>
      </c>
      <c r="O116" s="5">
        <v>4.7006855350384978E-2</v>
      </c>
      <c r="P116" s="5">
        <v>0.82867611043834466</v>
      </c>
      <c r="Q116" s="2"/>
      <c r="R116" s="2"/>
      <c r="S116" s="12"/>
    </row>
    <row r="117" spans="1:19">
      <c r="A117" s="14" t="s">
        <v>47</v>
      </c>
      <c r="B117" s="5">
        <v>138</v>
      </c>
      <c r="C117" s="5">
        <v>3.4691557374418354</v>
      </c>
      <c r="D117" s="5">
        <v>2.5138809691607502E-2</v>
      </c>
      <c r="E117" s="5"/>
      <c r="F117" s="5"/>
      <c r="G117" s="2"/>
      <c r="H117" s="2"/>
      <c r="I117" s="12"/>
      <c r="K117" s="14" t="s">
        <v>47</v>
      </c>
      <c r="L117" s="5">
        <v>138</v>
      </c>
      <c r="M117" s="5">
        <v>1308648.8357498078</v>
      </c>
      <c r="N117" s="5">
        <v>9482.9625778971586</v>
      </c>
      <c r="O117" s="5"/>
      <c r="P117" s="5"/>
      <c r="Q117" s="2"/>
      <c r="R117" s="2"/>
      <c r="S117" s="12"/>
    </row>
    <row r="118" spans="1:19" ht="15.75" thickBot="1">
      <c r="A118" s="15" t="s">
        <v>4</v>
      </c>
      <c r="B118" s="6">
        <v>139</v>
      </c>
      <c r="C118" s="6">
        <v>3.4774710912896021</v>
      </c>
      <c r="D118" s="6"/>
      <c r="E118" s="6"/>
      <c r="F118" s="6"/>
      <c r="G118" s="2"/>
      <c r="H118" s="2"/>
      <c r="I118" s="12"/>
      <c r="K118" s="15" t="s">
        <v>4</v>
      </c>
      <c r="L118" s="6">
        <v>139</v>
      </c>
      <c r="M118" s="6">
        <v>1309094.6000000001</v>
      </c>
      <c r="N118" s="6"/>
      <c r="O118" s="6"/>
      <c r="P118" s="6"/>
      <c r="Q118" s="2"/>
      <c r="R118" s="2"/>
      <c r="S118" s="12"/>
    </row>
    <row r="119" spans="1:19" ht="15.75" thickBot="1">
      <c r="A119" s="11"/>
      <c r="B119" s="2"/>
      <c r="C119" s="2"/>
      <c r="D119" s="2"/>
      <c r="E119" s="2"/>
      <c r="F119" s="2"/>
      <c r="G119" s="2"/>
      <c r="H119" s="2"/>
      <c r="I119" s="12"/>
      <c r="K119" s="11"/>
      <c r="L119" s="2"/>
      <c r="M119" s="2"/>
      <c r="N119" s="2"/>
      <c r="O119" s="2"/>
      <c r="P119" s="2"/>
      <c r="Q119" s="2"/>
      <c r="R119" s="2"/>
      <c r="S119" s="12"/>
    </row>
    <row r="120" spans="1:19">
      <c r="A120" s="13"/>
      <c r="B120" s="7" t="s">
        <v>50</v>
      </c>
      <c r="C120" s="7" t="s">
        <v>44</v>
      </c>
      <c r="D120" s="7" t="s">
        <v>51</v>
      </c>
      <c r="E120" s="7" t="s">
        <v>27</v>
      </c>
      <c r="F120" s="7" t="s">
        <v>52</v>
      </c>
      <c r="G120" s="7" t="s">
        <v>53</v>
      </c>
      <c r="H120" s="7" t="s">
        <v>54</v>
      </c>
      <c r="I120" s="16" t="s">
        <v>55</v>
      </c>
      <c r="K120" s="13"/>
      <c r="L120" s="7" t="s">
        <v>50</v>
      </c>
      <c r="M120" s="7" t="s">
        <v>44</v>
      </c>
      <c r="N120" s="7" t="s">
        <v>51</v>
      </c>
      <c r="O120" s="7" t="s">
        <v>27</v>
      </c>
      <c r="P120" s="7" t="s">
        <v>52</v>
      </c>
      <c r="Q120" s="7" t="s">
        <v>53</v>
      </c>
      <c r="R120" s="7" t="s">
        <v>54</v>
      </c>
      <c r="S120" s="16" t="s">
        <v>55</v>
      </c>
    </row>
    <row r="121" spans="1:19">
      <c r="A121" s="14" t="s">
        <v>48</v>
      </c>
      <c r="B121" s="5">
        <v>0.98901583427890982</v>
      </c>
      <c r="C121" s="5">
        <v>2.3974411622080184E-2</v>
      </c>
      <c r="D121" s="5">
        <v>41.252976292775273</v>
      </c>
      <c r="E121" s="5">
        <v>1.6992095143473947E-79</v>
      </c>
      <c r="F121" s="5">
        <v>0.94161114597233142</v>
      </c>
      <c r="G121" s="5">
        <v>1.0364205225854883</v>
      </c>
      <c r="H121" s="5">
        <v>0.94161114597233142</v>
      </c>
      <c r="I121" s="17">
        <v>1.0364205225854883</v>
      </c>
      <c r="K121" s="14" t="s">
        <v>48</v>
      </c>
      <c r="L121" s="5">
        <v>1057.4527561812704</v>
      </c>
      <c r="M121" s="5">
        <v>14.724739517451674</v>
      </c>
      <c r="N121" s="5">
        <v>71.814700350249566</v>
      </c>
      <c r="O121" s="5">
        <v>3.4656349463301236E-111</v>
      </c>
      <c r="P121" s="5">
        <v>1028.3374770151497</v>
      </c>
      <c r="Q121" s="5">
        <v>1086.5680353473911</v>
      </c>
      <c r="R121" s="5">
        <v>1028.3374770151497</v>
      </c>
      <c r="S121" s="17">
        <v>1086.5680353473911</v>
      </c>
    </row>
    <row r="122" spans="1:19">
      <c r="A122" s="18">
        <v>8</v>
      </c>
      <c r="B122" s="19">
        <v>3.4130046928626577E-3</v>
      </c>
      <c r="C122" s="19">
        <v>5.9342914670187886E-3</v>
      </c>
      <c r="D122" s="19">
        <v>0.57513263577146978</v>
      </c>
      <c r="E122" s="19">
        <v>0.56613812543324094</v>
      </c>
      <c r="F122" s="19">
        <v>-8.3208906681115913E-3</v>
      </c>
      <c r="G122" s="19">
        <v>1.5146900053836905E-2</v>
      </c>
      <c r="H122" s="19">
        <v>-8.3208906681115913E-3</v>
      </c>
      <c r="I122" s="20">
        <v>1.5146900053836905E-2</v>
      </c>
      <c r="K122" s="18">
        <v>8</v>
      </c>
      <c r="L122" s="19">
        <v>0.79022203544161984</v>
      </c>
      <c r="M122" s="19">
        <v>3.6447566451228752</v>
      </c>
      <c r="N122" s="19">
        <v>0.2168106439970505</v>
      </c>
      <c r="O122" s="19">
        <v>0.82867611043828937</v>
      </c>
      <c r="P122" s="19">
        <v>-6.4165680805774592</v>
      </c>
      <c r="Q122" s="19">
        <v>7.9970121514606998</v>
      </c>
      <c r="R122" s="19">
        <v>-6.4165680805774592</v>
      </c>
      <c r="S122" s="20">
        <v>7.9970121514606998</v>
      </c>
    </row>
    <row r="124" spans="1:19">
      <c r="A124" s="8" t="s">
        <v>62</v>
      </c>
      <c r="B124" s="9"/>
      <c r="C124" s="9"/>
      <c r="D124" s="9"/>
      <c r="E124" s="9"/>
      <c r="F124" s="9"/>
      <c r="G124" s="9"/>
      <c r="H124" s="9"/>
      <c r="I124" s="10"/>
      <c r="K124" s="8" t="s">
        <v>69</v>
      </c>
      <c r="L124" s="9"/>
      <c r="M124" s="9"/>
      <c r="N124" s="9"/>
      <c r="O124" s="9"/>
      <c r="P124" s="9"/>
      <c r="Q124" s="9"/>
      <c r="R124" s="9"/>
      <c r="S124" s="10"/>
    </row>
    <row r="125" spans="1:19" ht="15.75" thickBot="1">
      <c r="A125" s="11"/>
      <c r="B125" s="2"/>
      <c r="C125" s="2"/>
      <c r="D125" s="2"/>
      <c r="E125" s="2"/>
      <c r="F125" s="2"/>
      <c r="G125" s="2"/>
      <c r="H125" s="2"/>
      <c r="I125" s="12"/>
      <c r="K125" s="11"/>
      <c r="L125" s="2"/>
      <c r="M125" s="2"/>
      <c r="N125" s="2"/>
      <c r="O125" s="2"/>
      <c r="P125" s="2"/>
      <c r="Q125" s="2"/>
      <c r="R125" s="2"/>
      <c r="S125" s="12"/>
    </row>
    <row r="126" spans="1:19">
      <c r="A126" s="22" t="s">
        <v>40</v>
      </c>
      <c r="B126" s="21"/>
      <c r="C126" s="2"/>
      <c r="D126" s="2"/>
      <c r="E126" s="2"/>
      <c r="F126" s="2"/>
      <c r="G126" s="2"/>
      <c r="H126" s="2"/>
      <c r="I126" s="12"/>
      <c r="K126" s="26" t="s">
        <v>40</v>
      </c>
      <c r="L126" s="24"/>
      <c r="M126" s="2"/>
      <c r="N126" s="2"/>
      <c r="O126" s="2"/>
      <c r="P126" s="2"/>
      <c r="Q126" s="2"/>
      <c r="R126" s="2"/>
      <c r="S126" s="12"/>
    </row>
    <row r="127" spans="1:19">
      <c r="A127" s="14" t="s">
        <v>41</v>
      </c>
      <c r="B127" s="5">
        <v>4.1880953360165209E-2</v>
      </c>
      <c r="C127" s="2"/>
      <c r="D127" s="2"/>
      <c r="E127" s="2"/>
      <c r="F127" s="2"/>
      <c r="G127" s="2"/>
      <c r="H127" s="2"/>
      <c r="I127" s="12"/>
      <c r="K127" s="14" t="s">
        <v>41</v>
      </c>
      <c r="L127" s="5">
        <v>0.36731025801251732</v>
      </c>
      <c r="M127" s="2"/>
      <c r="N127" s="2"/>
      <c r="O127" s="2"/>
      <c r="P127" s="2"/>
      <c r="Q127" s="2"/>
      <c r="R127" s="2"/>
      <c r="S127" s="12"/>
    </row>
    <row r="128" spans="1:19">
      <c r="A128" s="14" t="s">
        <v>42</v>
      </c>
      <c r="B128" s="5">
        <v>1.7540142543563334E-3</v>
      </c>
      <c r="C128" s="2"/>
      <c r="D128" s="2"/>
      <c r="E128" s="2"/>
      <c r="F128" s="2"/>
      <c r="G128" s="2"/>
      <c r="H128" s="2"/>
      <c r="I128" s="12"/>
      <c r="K128" s="14" t="s">
        <v>42</v>
      </c>
      <c r="L128" s="5">
        <v>0.13491682564122204</v>
      </c>
      <c r="M128" s="2"/>
      <c r="N128" s="2"/>
      <c r="O128" s="2"/>
      <c r="P128" s="2"/>
      <c r="Q128" s="2"/>
      <c r="R128" s="2"/>
      <c r="S128" s="12"/>
    </row>
    <row r="129" spans="1:19">
      <c r="A129" s="14" t="s">
        <v>43</v>
      </c>
      <c r="B129" s="5">
        <v>-5.4796523090178961E-3</v>
      </c>
      <c r="C129" s="2"/>
      <c r="D129" s="2"/>
      <c r="E129" s="2"/>
      <c r="F129" s="2"/>
      <c r="G129" s="2"/>
      <c r="H129" s="2"/>
      <c r="I129" s="12"/>
      <c r="K129" s="14" t="s">
        <v>43</v>
      </c>
      <c r="L129" s="5">
        <v>0.12869320568180637</v>
      </c>
      <c r="M129" s="2"/>
      <c r="N129" s="2"/>
      <c r="O129" s="2"/>
      <c r="P129" s="2"/>
      <c r="Q129" s="2"/>
      <c r="R129" s="2"/>
      <c r="S129" s="12"/>
    </row>
    <row r="130" spans="1:19">
      <c r="A130" s="14" t="s">
        <v>44</v>
      </c>
      <c r="B130" s="5">
        <v>5.4801754976863721</v>
      </c>
      <c r="C130" s="2"/>
      <c r="D130" s="2"/>
      <c r="E130" s="2"/>
      <c r="F130" s="2"/>
      <c r="G130" s="2"/>
      <c r="H130" s="2"/>
      <c r="I130" s="12"/>
      <c r="K130" s="14" t="s">
        <v>44</v>
      </c>
      <c r="L130" s="5">
        <v>2.474698897508099</v>
      </c>
      <c r="M130" s="2"/>
      <c r="N130" s="2"/>
      <c r="O130" s="2"/>
      <c r="P130" s="2"/>
      <c r="Q130" s="2"/>
      <c r="R130" s="2"/>
      <c r="S130" s="12"/>
    </row>
    <row r="131" spans="1:19" ht="15.75" thickBot="1">
      <c r="A131" s="15" t="s">
        <v>45</v>
      </c>
      <c r="B131" s="6">
        <v>140</v>
      </c>
      <c r="C131" s="2"/>
      <c r="D131" s="2"/>
      <c r="E131" s="2"/>
      <c r="F131" s="2"/>
      <c r="G131" s="2"/>
      <c r="H131" s="2"/>
      <c r="I131" s="12"/>
      <c r="K131" s="14" t="s">
        <v>45</v>
      </c>
      <c r="L131" s="5">
        <v>141</v>
      </c>
      <c r="M131" s="2"/>
      <c r="N131" s="2"/>
      <c r="O131" s="2"/>
      <c r="P131" s="2"/>
      <c r="Q131" s="2"/>
      <c r="R131" s="2"/>
      <c r="S131" s="12"/>
    </row>
    <row r="132" spans="1:19">
      <c r="A132" s="11"/>
      <c r="B132" s="2"/>
      <c r="C132" s="2"/>
      <c r="D132" s="2"/>
      <c r="E132" s="2"/>
      <c r="F132" s="2"/>
      <c r="G132" s="2"/>
      <c r="H132" s="2"/>
      <c r="I132" s="12"/>
      <c r="K132" s="11"/>
      <c r="L132" s="2"/>
      <c r="M132" s="2"/>
      <c r="N132" s="2"/>
      <c r="O132" s="2"/>
      <c r="P132" s="2"/>
      <c r="Q132" s="2"/>
      <c r="R132" s="2"/>
      <c r="S132" s="12"/>
    </row>
    <row r="133" spans="1:19" ht="15.75" thickBot="1">
      <c r="A133" s="11" t="s">
        <v>21</v>
      </c>
      <c r="B133" s="2"/>
      <c r="C133" s="2"/>
      <c r="D133" s="2"/>
      <c r="E133" s="2"/>
      <c r="F133" s="2"/>
      <c r="G133" s="2"/>
      <c r="H133" s="2"/>
      <c r="I133" s="12"/>
      <c r="K133" s="11" t="s">
        <v>21</v>
      </c>
      <c r="L133" s="2"/>
      <c r="M133" s="2"/>
      <c r="N133" s="2"/>
      <c r="O133" s="2"/>
      <c r="P133" s="2"/>
      <c r="Q133" s="2"/>
      <c r="R133" s="2"/>
      <c r="S133" s="12"/>
    </row>
    <row r="134" spans="1:19">
      <c r="A134" s="13"/>
      <c r="B134" s="7" t="s">
        <v>24</v>
      </c>
      <c r="C134" s="7" t="s">
        <v>23</v>
      </c>
      <c r="D134" s="7" t="s">
        <v>25</v>
      </c>
      <c r="E134" s="7" t="s">
        <v>26</v>
      </c>
      <c r="F134" s="7" t="s">
        <v>49</v>
      </c>
      <c r="G134" s="2"/>
      <c r="H134" s="2"/>
      <c r="I134" s="12"/>
      <c r="K134" s="27"/>
      <c r="L134" s="25" t="s">
        <v>24</v>
      </c>
      <c r="M134" s="25" t="s">
        <v>23</v>
      </c>
      <c r="N134" s="25" t="s">
        <v>25</v>
      </c>
      <c r="O134" s="25" t="s">
        <v>26</v>
      </c>
      <c r="P134" s="25" t="s">
        <v>49</v>
      </c>
      <c r="Q134" s="2"/>
      <c r="R134" s="2"/>
      <c r="S134" s="12"/>
    </row>
    <row r="135" spans="1:19">
      <c r="A135" s="14" t="s">
        <v>46</v>
      </c>
      <c r="B135" s="5">
        <v>1</v>
      </c>
      <c r="C135" s="5">
        <v>7.2822161518506618</v>
      </c>
      <c r="D135" s="5">
        <v>7.2822161518506618</v>
      </c>
      <c r="E135" s="5">
        <v>0.24247927921330018</v>
      </c>
      <c r="F135" s="5">
        <v>0.62320366034294916</v>
      </c>
      <c r="G135" s="2"/>
      <c r="H135" s="2"/>
      <c r="I135" s="12"/>
      <c r="K135" s="14" t="s">
        <v>46</v>
      </c>
      <c r="L135" s="5">
        <v>1</v>
      </c>
      <c r="M135" s="5">
        <v>132.7601636854497</v>
      </c>
      <c r="N135" s="5">
        <v>132.7601636854497</v>
      </c>
      <c r="O135" s="5">
        <v>21.678191554274996</v>
      </c>
      <c r="P135" s="5">
        <v>7.4512078814188307E-6</v>
      </c>
      <c r="Q135" s="2"/>
      <c r="R135" s="2"/>
      <c r="S135" s="12"/>
    </row>
    <row r="136" spans="1:19">
      <c r="A136" s="14" t="s">
        <v>47</v>
      </c>
      <c r="B136" s="5">
        <v>138</v>
      </c>
      <c r="C136" s="5">
        <v>4144.4606409910066</v>
      </c>
      <c r="D136" s="5">
        <v>30.032323485442078</v>
      </c>
      <c r="E136" s="5"/>
      <c r="F136" s="5"/>
      <c r="G136" s="2"/>
      <c r="H136" s="2"/>
      <c r="I136" s="12"/>
      <c r="K136" s="14" t="s">
        <v>47</v>
      </c>
      <c r="L136" s="5">
        <v>139</v>
      </c>
      <c r="M136" s="5">
        <v>851.25471403256415</v>
      </c>
      <c r="N136" s="5">
        <v>6.1241346333277997</v>
      </c>
      <c r="O136" s="5"/>
      <c r="P136" s="5"/>
      <c r="Q136" s="2"/>
      <c r="R136" s="2"/>
      <c r="S136" s="12"/>
    </row>
    <row r="137" spans="1:19" ht="15.75" thickBot="1">
      <c r="A137" s="15" t="s">
        <v>4</v>
      </c>
      <c r="B137" s="6">
        <v>139</v>
      </c>
      <c r="C137" s="6">
        <v>4151.7428571428572</v>
      </c>
      <c r="D137" s="6"/>
      <c r="E137" s="6"/>
      <c r="F137" s="6"/>
      <c r="G137" s="2"/>
      <c r="H137" s="2"/>
      <c r="I137" s="12"/>
      <c r="K137" s="14" t="s">
        <v>4</v>
      </c>
      <c r="L137" s="5">
        <v>140</v>
      </c>
      <c r="M137" s="5">
        <v>984.01487771801385</v>
      </c>
      <c r="N137" s="5"/>
      <c r="O137" s="5"/>
      <c r="P137" s="5"/>
      <c r="Q137" s="2"/>
      <c r="R137" s="2"/>
      <c r="S137" s="12"/>
    </row>
    <row r="138" spans="1:19" ht="15.75" thickBot="1">
      <c r="A138" s="11"/>
      <c r="B138" s="2"/>
      <c r="C138" s="2"/>
      <c r="D138" s="2"/>
      <c r="E138" s="2"/>
      <c r="F138" s="2"/>
      <c r="G138" s="2"/>
      <c r="H138" s="2"/>
      <c r="I138" s="12"/>
      <c r="K138" s="11"/>
      <c r="L138" s="2"/>
      <c r="M138" s="2"/>
      <c r="N138" s="2"/>
      <c r="O138" s="2"/>
      <c r="P138" s="2"/>
      <c r="Q138" s="2"/>
      <c r="R138" s="2"/>
      <c r="S138" s="12"/>
    </row>
    <row r="139" spans="1:19">
      <c r="A139" s="13"/>
      <c r="B139" s="7" t="s">
        <v>50</v>
      </c>
      <c r="C139" s="7" t="s">
        <v>44</v>
      </c>
      <c r="D139" s="7" t="s">
        <v>51</v>
      </c>
      <c r="E139" s="7" t="s">
        <v>27</v>
      </c>
      <c r="F139" s="7" t="s">
        <v>52</v>
      </c>
      <c r="G139" s="7" t="s">
        <v>53</v>
      </c>
      <c r="H139" s="7" t="s">
        <v>54</v>
      </c>
      <c r="I139" s="16" t="s">
        <v>55</v>
      </c>
      <c r="K139" s="27"/>
      <c r="L139" s="25" t="s">
        <v>50</v>
      </c>
      <c r="M139" s="25" t="s">
        <v>44</v>
      </c>
      <c r="N139" s="25" t="s">
        <v>51</v>
      </c>
      <c r="O139" s="25" t="s">
        <v>27</v>
      </c>
      <c r="P139" s="25" t="s">
        <v>52</v>
      </c>
      <c r="Q139" s="25" t="s">
        <v>53</v>
      </c>
      <c r="R139" s="25" t="s">
        <v>54</v>
      </c>
      <c r="S139" s="28" t="s">
        <v>55</v>
      </c>
    </row>
    <row r="140" spans="1:19">
      <c r="A140" s="14" t="s">
        <v>48</v>
      </c>
      <c r="B140" s="5">
        <v>0.38121253964918739</v>
      </c>
      <c r="C140" s="5">
        <v>0.82864796668337537</v>
      </c>
      <c r="D140" s="5">
        <v>0.46004160388514886</v>
      </c>
      <c r="E140" s="5">
        <v>0.64621036260965603</v>
      </c>
      <c r="F140" s="5">
        <v>-1.2572759953656729</v>
      </c>
      <c r="G140" s="5">
        <v>2.0197010746640478</v>
      </c>
      <c r="H140" s="5">
        <v>-1.2572759953656729</v>
      </c>
      <c r="I140" s="17">
        <v>2.0197010746640478</v>
      </c>
      <c r="K140" s="14" t="s">
        <v>48</v>
      </c>
      <c r="L140" s="5">
        <v>122.89005934090392</v>
      </c>
      <c r="M140" s="5">
        <v>0.42880568024498888</v>
      </c>
      <c r="N140" s="5">
        <v>286.58682709308636</v>
      </c>
      <c r="O140" s="5">
        <v>1.4450661941924106E-194</v>
      </c>
      <c r="P140" s="5">
        <v>122.04223431464878</v>
      </c>
      <c r="Q140" s="5">
        <v>123.73788436715905</v>
      </c>
      <c r="R140" s="5">
        <v>122.04223431464878</v>
      </c>
      <c r="S140" s="17">
        <v>123.73788436715905</v>
      </c>
    </row>
    <row r="141" spans="1:19">
      <c r="A141" s="18">
        <v>8</v>
      </c>
      <c r="B141" s="19">
        <v>-0.10100161098269986</v>
      </c>
      <c r="C141" s="19">
        <v>0.20511196000834131</v>
      </c>
      <c r="D141" s="19">
        <v>-0.49242185086911761</v>
      </c>
      <c r="E141" s="19">
        <v>0.62320366034289831</v>
      </c>
      <c r="F141" s="19">
        <v>-0.50657020992974444</v>
      </c>
      <c r="G141" s="19">
        <v>0.30456698796434467</v>
      </c>
      <c r="H141" s="19">
        <v>-0.50657020992974444</v>
      </c>
      <c r="I141" s="20">
        <v>0.30456698796434467</v>
      </c>
      <c r="K141" s="18" t="s">
        <v>68</v>
      </c>
      <c r="L141" s="19">
        <v>3.8712882056672222</v>
      </c>
      <c r="M141" s="19">
        <v>0.83146501357253533</v>
      </c>
      <c r="N141" s="19">
        <v>4.655984488190974</v>
      </c>
      <c r="O141" s="19">
        <v>7.451207881418829E-6</v>
      </c>
      <c r="P141" s="19">
        <v>2.2273341270747773</v>
      </c>
      <c r="Q141" s="19">
        <v>5.5152422842596671</v>
      </c>
      <c r="R141" s="19">
        <v>2.2273341270747773</v>
      </c>
      <c r="S141" s="20">
        <v>5.5152422842596671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Graphs</vt:lpstr>
      <vt:lpstr>Stats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2009-05-29T20:54:06Z</dcterms:created>
  <dcterms:modified xsi:type="dcterms:W3CDTF">2009-06-04T22:20:56Z</dcterms:modified>
</cp:coreProperties>
</file>